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24226"/>
  <xr:revisionPtr revIDLastSave="0" documentId="8_{A98A1BF4-C97C-473B-BB22-E65AE83070DB}" xr6:coauthVersionLast="47" xr6:coauthVersionMax="47" xr10:uidLastSave="{00000000-0000-0000-0000-000000000000}"/>
  <bookViews>
    <workbookView xWindow="-108" yWindow="-108" windowWidth="23256" windowHeight="12576" tabRatio="634" firstSheet="1" activeTab="3" xr2:uid="{00000000-000D-0000-FFFF-FFFF00000000}"/>
  </bookViews>
  <sheets>
    <sheet name="Zał 2 25-01-2024" sheetId="8" r:id="rId1"/>
    <sheet name="Zał 3 25-01-2024" sheetId="14" r:id="rId2"/>
    <sheet name="Zał 4 25-01-2024" sheetId="15" r:id="rId3"/>
    <sheet name="Zał. 5 25-01-2024" sheetId="16" r:id="rId4"/>
    <sheet name="Zał 6 25-01-2024" sheetId="12" r:id="rId5"/>
    <sheet name="Zał 6.1. 25-01-2024" sheetId="9" r:id="rId6"/>
    <sheet name="Zał 7 25-01-2024" sheetId="11" r:id="rId7"/>
  </sheets>
  <definedNames>
    <definedName name="_xlnm.Print_Area" localSheetId="0">'Zał 2 25-01-2024'!$A$3:$H$15</definedName>
    <definedName name="_xlnm.Print_Area" localSheetId="4">'Zał 6 25-01-2024'!$A$1:$T$32</definedName>
    <definedName name="_xlnm.Print_Area" localSheetId="5">'Zał 6.1. 25-01-2024'!$A$1:$P$32</definedName>
    <definedName name="_xlnm.Print_Area" localSheetId="6">'Zał 7 25-01-2024'!$A$1:$J$32</definedName>
    <definedName name="_xlnm.Print_Area" localSheetId="3">'Zał. 5 25-01-2024'!$A$1:$G$46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3" i="12" l="1"/>
  <c r="O3" i="12"/>
  <c r="P3" i="12"/>
  <c r="R31" i="9"/>
  <c r="I36" i="9"/>
  <c r="J3" i="12"/>
  <c r="F15" i="16"/>
  <c r="P31" i="12"/>
  <c r="D41" i="12" l="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6" i="11"/>
  <c r="J15" i="11"/>
  <c r="J14" i="11"/>
  <c r="J13" i="11"/>
  <c r="J12" i="11"/>
  <c r="J11" i="11"/>
  <c r="J9" i="11"/>
  <c r="J6" i="11"/>
  <c r="I32" i="11"/>
  <c r="I31" i="11"/>
  <c r="I30" i="11"/>
  <c r="I29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3" i="11"/>
  <c r="H32" i="11"/>
  <c r="G32" i="11"/>
  <c r="G31" i="11"/>
  <c r="G30" i="11"/>
  <c r="G29" i="11"/>
  <c r="G27" i="11"/>
  <c r="G26" i="11"/>
  <c r="G25" i="11"/>
  <c r="G24" i="11"/>
  <c r="G23" i="11"/>
  <c r="G22" i="11"/>
  <c r="G21" i="11"/>
  <c r="G20" i="11"/>
  <c r="G16" i="11"/>
  <c r="G15" i="11"/>
  <c r="G14" i="11"/>
  <c r="G13" i="11"/>
  <c r="G12" i="11"/>
  <c r="G11" i="11"/>
  <c r="G9" i="11"/>
  <c r="G6" i="11"/>
  <c r="F32" i="11"/>
  <c r="S32" i="12"/>
  <c r="F31" i="11"/>
  <c r="F30" i="11"/>
  <c r="F29" i="11"/>
  <c r="F27" i="11"/>
  <c r="F26" i="11"/>
  <c r="F25" i="11"/>
  <c r="F24" i="11"/>
  <c r="F23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F5" i="11"/>
  <c r="F4" i="11"/>
  <c r="F3" i="11"/>
  <c r="E4" i="11"/>
  <c r="D32" i="11"/>
  <c r="D31" i="11"/>
  <c r="D30" i="11"/>
  <c r="D29" i="11"/>
  <c r="D27" i="11"/>
  <c r="D26" i="11"/>
  <c r="D25" i="11"/>
  <c r="D24" i="11"/>
  <c r="D23" i="11"/>
  <c r="D22" i="11"/>
  <c r="D21" i="11"/>
  <c r="D20" i="11"/>
  <c r="D16" i="11"/>
  <c r="D15" i="11"/>
  <c r="D14" i="11"/>
  <c r="D13" i="11"/>
  <c r="D12" i="11"/>
  <c r="D11" i="11"/>
  <c r="D6" i="11"/>
  <c r="D9" i="11"/>
  <c r="K32" i="12"/>
  <c r="J4" i="12"/>
  <c r="J5" i="12"/>
  <c r="J6" i="12"/>
  <c r="J7" i="12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I32" i="12"/>
  <c r="H32" i="12"/>
  <c r="J32" i="12" l="1"/>
  <c r="E14" i="8" l="1"/>
  <c r="E13" i="8"/>
  <c r="C14" i="8"/>
  <c r="C13" i="8"/>
  <c r="F9" i="8"/>
  <c r="F8" i="8"/>
  <c r="G8" i="8" s="1"/>
  <c r="F7" i="8"/>
  <c r="C9" i="8"/>
  <c r="C8" i="8"/>
  <c r="C7" i="8"/>
  <c r="E31" i="11"/>
  <c r="E30" i="11"/>
  <c r="E29" i="11"/>
  <c r="E25" i="11"/>
  <c r="E23" i="11"/>
  <c r="E20" i="11"/>
  <c r="E18" i="11"/>
  <c r="E17" i="11"/>
  <c r="E13" i="11"/>
  <c r="E12" i="11"/>
  <c r="E11" i="11"/>
  <c r="E5" i="11"/>
  <c r="K32" i="11"/>
  <c r="D37" i="16"/>
  <c r="C37" i="16"/>
  <c r="C39" i="16" s="1"/>
  <c r="C31" i="16"/>
  <c r="C30" i="16"/>
  <c r="D29" i="16"/>
  <c r="C29" i="16"/>
  <c r="D28" i="16"/>
  <c r="C28" i="16"/>
  <c r="C27" i="16"/>
  <c r="C26" i="16"/>
  <c r="C25" i="16"/>
  <c r="C22" i="16"/>
  <c r="D21" i="16"/>
  <c r="E21" i="16" s="1"/>
  <c r="D20" i="16"/>
  <c r="E20" i="16" s="1"/>
  <c r="E19" i="16"/>
  <c r="E18" i="16"/>
  <c r="D17" i="16"/>
  <c r="E17" i="16" s="1"/>
  <c r="D16" i="16"/>
  <c r="D26" i="16" s="1"/>
  <c r="F25" i="16"/>
  <c r="D15" i="16"/>
  <c r="D12" i="16"/>
  <c r="C12" i="16"/>
  <c r="F11" i="16"/>
  <c r="G11" i="16" s="1"/>
  <c r="E11" i="16"/>
  <c r="F10" i="16"/>
  <c r="G10" i="16" s="1"/>
  <c r="E10" i="16"/>
  <c r="F9" i="16"/>
  <c r="G9" i="16" s="1"/>
  <c r="E9" i="16"/>
  <c r="F8" i="16"/>
  <c r="G8" i="16" s="1"/>
  <c r="E8" i="16"/>
  <c r="F7" i="16"/>
  <c r="F17" i="16" s="1"/>
  <c r="E7" i="16"/>
  <c r="F6" i="16"/>
  <c r="G6" i="16" s="1"/>
  <c r="E6" i="16"/>
  <c r="G5" i="16"/>
  <c r="E5" i="16"/>
  <c r="G6" i="14"/>
  <c r="G7" i="14"/>
  <c r="G8" i="14"/>
  <c r="G9" i="14"/>
  <c r="G10" i="14"/>
  <c r="G11" i="14"/>
  <c r="G12" i="14"/>
  <c r="G13" i="14"/>
  <c r="G14" i="14"/>
  <c r="G15" i="14"/>
  <c r="G16" i="14"/>
  <c r="G17" i="14"/>
  <c r="G5" i="14"/>
  <c r="E17" i="14"/>
  <c r="E6" i="14"/>
  <c r="E7" i="14"/>
  <c r="E8" i="14"/>
  <c r="E9" i="14"/>
  <c r="E10" i="14"/>
  <c r="E11" i="14"/>
  <c r="E12" i="14"/>
  <c r="E13" i="14"/>
  <c r="E14" i="14"/>
  <c r="E15" i="14"/>
  <c r="E16" i="14"/>
  <c r="E5" i="14"/>
  <c r="D7" i="8"/>
  <c r="F20" i="16" l="1"/>
  <c r="F30" i="16" s="1"/>
  <c r="F19" i="16"/>
  <c r="G19" i="16" s="1"/>
  <c r="E12" i="16"/>
  <c r="D22" i="16"/>
  <c r="E22" i="16" s="1"/>
  <c r="F16" i="16"/>
  <c r="F26" i="16" s="1"/>
  <c r="F21" i="16"/>
  <c r="G21" i="16" s="1"/>
  <c r="C32" i="16"/>
  <c r="D31" i="16"/>
  <c r="G17" i="16"/>
  <c r="F27" i="16"/>
  <c r="E16" i="16"/>
  <c r="F18" i="16"/>
  <c r="G7" i="16"/>
  <c r="F12" i="16"/>
  <c r="G12" i="16" s="1"/>
  <c r="F31" i="16"/>
  <c r="D27" i="16"/>
  <c r="D30" i="16"/>
  <c r="E15" i="16"/>
  <c r="D25" i="16"/>
  <c r="G15" i="16"/>
  <c r="G9" i="8"/>
  <c r="H9" i="8" s="1"/>
  <c r="E7" i="8"/>
  <c r="D9" i="8"/>
  <c r="E9" i="8" s="1"/>
  <c r="H8" i="8"/>
  <c r="F10" i="8"/>
  <c r="D8" i="8"/>
  <c r="C10" i="8"/>
  <c r="G7" i="8"/>
  <c r="H7" i="8" s="1"/>
  <c r="G20" i="16" l="1"/>
  <c r="F29" i="16"/>
  <c r="G25" i="16"/>
  <c r="G16" i="16"/>
  <c r="G18" i="16"/>
  <c r="F28" i="16"/>
  <c r="D32" i="16"/>
  <c r="E25" i="16"/>
  <c r="F22" i="16"/>
  <c r="G22" i="16" s="1"/>
  <c r="D10" i="8"/>
  <c r="H14" i="8"/>
  <c r="H13" i="8"/>
  <c r="E8" i="8"/>
  <c r="C15" i="8" s="1"/>
  <c r="G10" i="8"/>
  <c r="E32" i="16" l="1"/>
  <c r="D38" i="16"/>
  <c r="F38" i="16" s="1"/>
  <c r="F32" i="16"/>
  <c r="F42" i="16" s="1"/>
  <c r="G32" i="16"/>
  <c r="E15" i="8"/>
  <c r="H15" i="8"/>
  <c r="E10" i="8"/>
  <c r="H10" i="8"/>
  <c r="G38" i="16" l="1"/>
  <c r="L6" i="11"/>
  <c r="L7" i="11"/>
  <c r="L8" i="11"/>
  <c r="L9" i="11"/>
  <c r="L10" i="11"/>
  <c r="L14" i="11"/>
  <c r="L15" i="11"/>
  <c r="L17" i="11"/>
  <c r="F21" i="11"/>
  <c r="F22" i="11"/>
  <c r="L23" i="11"/>
  <c r="L24" i="11"/>
  <c r="L25" i="11"/>
  <c r="L26" i="11"/>
  <c r="L30" i="11"/>
  <c r="L31" i="11"/>
  <c r="E32" i="11"/>
  <c r="D32" i="9"/>
  <c r="L3" i="11" l="1"/>
  <c r="L21" i="11"/>
  <c r="L18" i="11"/>
  <c r="L13" i="11"/>
  <c r="L19" i="11"/>
  <c r="L11" i="11"/>
  <c r="L27" i="11"/>
  <c r="L5" i="11"/>
  <c r="L29" i="11"/>
  <c r="L16" i="11"/>
  <c r="L22" i="11"/>
  <c r="L20" i="11"/>
  <c r="L12" i="11"/>
  <c r="L4" i="11"/>
  <c r="C32" i="11"/>
  <c r="T3" i="12" l="1"/>
  <c r="L32" i="11"/>
  <c r="E4" i="9"/>
  <c r="E5" i="9"/>
  <c r="E8" i="9"/>
  <c r="E10" i="9"/>
  <c r="E17" i="9"/>
  <c r="E3" i="9"/>
  <c r="N32" i="12"/>
  <c r="F32" i="9" l="1"/>
  <c r="C26" i="9" l="1"/>
  <c r="E26" i="9" s="1"/>
  <c r="G32" i="12" l="1"/>
  <c r="F32" i="12" l="1"/>
  <c r="T29" i="12" l="1"/>
  <c r="T31" i="12"/>
  <c r="E4" i="12" l="1"/>
  <c r="E3" i="12"/>
  <c r="D32" i="12"/>
  <c r="C31" i="12" l="1"/>
  <c r="C30" i="12"/>
  <c r="C29" i="12"/>
  <c r="C28" i="12"/>
  <c r="C27" i="12"/>
  <c r="C26" i="12"/>
  <c r="C25" i="12"/>
  <c r="C24" i="12"/>
  <c r="C23" i="12"/>
  <c r="C22" i="12"/>
  <c r="C21" i="12"/>
  <c r="C20" i="12"/>
  <c r="C19" i="12"/>
  <c r="C18" i="12"/>
  <c r="E17" i="12"/>
  <c r="C16" i="12"/>
  <c r="C15" i="12"/>
  <c r="C14" i="12"/>
  <c r="C13" i="12"/>
  <c r="C12" i="12"/>
  <c r="C11" i="12"/>
  <c r="E10" i="12"/>
  <c r="C9" i="12"/>
  <c r="E8" i="12"/>
  <c r="C7" i="12"/>
  <c r="C6" i="12"/>
  <c r="E5" i="12"/>
  <c r="E31" i="12" l="1"/>
  <c r="E18" i="12"/>
  <c r="E26" i="12"/>
  <c r="E15" i="12"/>
  <c r="E13" i="12"/>
  <c r="E21" i="12"/>
  <c r="E20" i="12"/>
  <c r="E11" i="12"/>
  <c r="E16" i="12"/>
  <c r="E24" i="12"/>
  <c r="E19" i="12"/>
  <c r="E27" i="12"/>
  <c r="E22" i="12"/>
  <c r="E30" i="12"/>
  <c r="E7" i="12"/>
  <c r="C32" i="12"/>
  <c r="E12" i="12"/>
  <c r="E14" i="12"/>
  <c r="E23" i="12"/>
  <c r="E28" i="12"/>
  <c r="E29" i="12"/>
  <c r="E6" i="12"/>
  <c r="E9" i="12"/>
  <c r="E25" i="12"/>
  <c r="E32" i="12" l="1"/>
  <c r="L11" i="12" l="1"/>
  <c r="L19" i="12"/>
  <c r="L27" i="12"/>
  <c r="L15" i="12"/>
  <c r="L16" i="12"/>
  <c r="L4" i="12"/>
  <c r="L12" i="12"/>
  <c r="L20" i="12"/>
  <c r="L28" i="12"/>
  <c r="L3" i="12"/>
  <c r="L5" i="12"/>
  <c r="L13" i="12"/>
  <c r="L21" i="12"/>
  <c r="L29" i="12"/>
  <c r="L23" i="12"/>
  <c r="L6" i="12"/>
  <c r="L14" i="12"/>
  <c r="L22" i="12"/>
  <c r="L30" i="12"/>
  <c r="L7" i="12"/>
  <c r="L31" i="12"/>
  <c r="L8" i="12"/>
  <c r="L24" i="12"/>
  <c r="L9" i="12"/>
  <c r="L17" i="12"/>
  <c r="L25" i="12"/>
  <c r="L10" i="12"/>
  <c r="L18" i="12"/>
  <c r="L26" i="12"/>
  <c r="E34" i="12"/>
  <c r="L32" i="12" l="1"/>
  <c r="M9" i="12" l="1"/>
  <c r="M17" i="12"/>
  <c r="M25" i="12"/>
  <c r="M13" i="12"/>
  <c r="M10" i="12"/>
  <c r="M18" i="12"/>
  <c r="M26" i="12"/>
  <c r="M29" i="12"/>
  <c r="P29" i="12" s="1"/>
  <c r="M30" i="12"/>
  <c r="M11" i="12"/>
  <c r="M19" i="12"/>
  <c r="M27" i="12"/>
  <c r="M22" i="12"/>
  <c r="M4" i="12"/>
  <c r="M12" i="12"/>
  <c r="M20" i="12"/>
  <c r="M28" i="12"/>
  <c r="M5" i="12"/>
  <c r="M21" i="12"/>
  <c r="M6" i="12"/>
  <c r="M14" i="12"/>
  <c r="M7" i="12"/>
  <c r="M15" i="12"/>
  <c r="M23" i="12"/>
  <c r="M31" i="12"/>
  <c r="M8" i="12"/>
  <c r="M16" i="12"/>
  <c r="M24" i="12"/>
  <c r="M3" i="12"/>
  <c r="C31" i="9"/>
  <c r="E31" i="9" s="1"/>
  <c r="C30" i="9"/>
  <c r="E30" i="9" s="1"/>
  <c r="C29" i="9"/>
  <c r="E29" i="9" s="1"/>
  <c r="C28" i="9"/>
  <c r="E28" i="9" s="1"/>
  <c r="C27" i="9"/>
  <c r="E27" i="9" s="1"/>
  <c r="C25" i="9"/>
  <c r="E25" i="9" s="1"/>
  <c r="C24" i="9"/>
  <c r="E24" i="9" s="1"/>
  <c r="C23" i="9"/>
  <c r="E23" i="9" s="1"/>
  <c r="C22" i="9"/>
  <c r="E22" i="9" s="1"/>
  <c r="C21" i="9"/>
  <c r="E21" i="9" s="1"/>
  <c r="C20" i="9"/>
  <c r="E20" i="9" s="1"/>
  <c r="C19" i="9"/>
  <c r="E19" i="9" s="1"/>
  <c r="C18" i="9"/>
  <c r="E18" i="9" s="1"/>
  <c r="C16" i="9"/>
  <c r="E16" i="9" s="1"/>
  <c r="C15" i="9"/>
  <c r="E15" i="9" s="1"/>
  <c r="C14" i="9"/>
  <c r="E14" i="9" s="1"/>
  <c r="C13" i="9"/>
  <c r="E13" i="9" s="1"/>
  <c r="C12" i="9"/>
  <c r="E12" i="9" s="1"/>
  <c r="C11" i="9"/>
  <c r="E11" i="9" s="1"/>
  <c r="C9" i="9"/>
  <c r="E9" i="9" s="1"/>
  <c r="C7" i="9"/>
  <c r="E7" i="9" s="1"/>
  <c r="C6" i="9"/>
  <c r="E6" i="9" s="1"/>
  <c r="E32" i="9" l="1"/>
  <c r="M32" i="12"/>
  <c r="C32" i="9"/>
  <c r="D35" i="9" s="1"/>
  <c r="N3" i="9" l="1"/>
  <c r="N11" i="9"/>
  <c r="N19" i="9"/>
  <c r="N27" i="9"/>
  <c r="N30" i="9"/>
  <c r="N9" i="9"/>
  <c r="N4" i="9"/>
  <c r="N12" i="9"/>
  <c r="N20" i="9"/>
  <c r="N28" i="9"/>
  <c r="N6" i="9"/>
  <c r="N22" i="9"/>
  <c r="N5" i="9"/>
  <c r="N13" i="9"/>
  <c r="N21" i="9"/>
  <c r="N29" i="9"/>
  <c r="N14" i="9"/>
  <c r="N10" i="9"/>
  <c r="N7" i="9"/>
  <c r="N15" i="9"/>
  <c r="N23" i="9"/>
  <c r="N31" i="9"/>
  <c r="N17" i="9"/>
  <c r="N18" i="9"/>
  <c r="N8" i="9"/>
  <c r="N16" i="9"/>
  <c r="N24" i="9"/>
  <c r="N32" i="9"/>
  <c r="N25" i="9"/>
  <c r="N26" i="9"/>
  <c r="G26" i="9"/>
  <c r="K26" i="9"/>
  <c r="H26" i="9"/>
  <c r="I26" i="9"/>
  <c r="J26" i="9"/>
  <c r="I27" i="9"/>
  <c r="K4" i="9"/>
  <c r="K12" i="9"/>
  <c r="K20" i="9"/>
  <c r="K29" i="9"/>
  <c r="K3" i="9"/>
  <c r="K17" i="9"/>
  <c r="H28" i="9"/>
  <c r="K5" i="9"/>
  <c r="K13" i="9"/>
  <c r="K21" i="9"/>
  <c r="K30" i="9"/>
  <c r="K10" i="9"/>
  <c r="K11" i="9"/>
  <c r="G17" i="9"/>
  <c r="K6" i="9"/>
  <c r="K14" i="9"/>
  <c r="K22" i="9"/>
  <c r="K31" i="9"/>
  <c r="K23" i="9"/>
  <c r="K25" i="9"/>
  <c r="K27" i="9"/>
  <c r="G3" i="9"/>
  <c r="K7" i="9"/>
  <c r="K15" i="9"/>
  <c r="K9" i="9"/>
  <c r="K18" i="9"/>
  <c r="K19" i="9"/>
  <c r="K8" i="9"/>
  <c r="K16" i="9"/>
  <c r="K24" i="9"/>
  <c r="K28" i="9"/>
  <c r="H30" i="9"/>
  <c r="J11" i="9"/>
  <c r="J19" i="9"/>
  <c r="J27" i="9"/>
  <c r="J4" i="9"/>
  <c r="J12" i="9"/>
  <c r="J20" i="9"/>
  <c r="J28" i="9"/>
  <c r="J13" i="9"/>
  <c r="J29" i="9"/>
  <c r="J5" i="9"/>
  <c r="J21" i="9"/>
  <c r="J6" i="9"/>
  <c r="J14" i="9"/>
  <c r="J22" i="9"/>
  <c r="J30" i="9"/>
  <c r="J7" i="9"/>
  <c r="J15" i="9"/>
  <c r="J23" i="9"/>
  <c r="J31" i="9"/>
  <c r="J8" i="9"/>
  <c r="J16" i="9"/>
  <c r="J24" i="9"/>
  <c r="J3" i="9"/>
  <c r="J18" i="9"/>
  <c r="J9" i="9"/>
  <c r="J17" i="9"/>
  <c r="J25" i="9"/>
  <c r="J10" i="9"/>
  <c r="I3" i="9"/>
  <c r="H11" i="9"/>
  <c r="H19" i="9"/>
  <c r="H27" i="9"/>
  <c r="G7" i="9"/>
  <c r="G15" i="9"/>
  <c r="G23" i="9"/>
  <c r="G31" i="9"/>
  <c r="I19" i="9"/>
  <c r="H14" i="9"/>
  <c r="G10" i="9"/>
  <c r="G13" i="9"/>
  <c r="H10" i="9"/>
  <c r="G22" i="9"/>
  <c r="H4" i="9"/>
  <c r="H12" i="9"/>
  <c r="H20" i="9"/>
  <c r="G8" i="9"/>
  <c r="G16" i="9"/>
  <c r="G24" i="9"/>
  <c r="H22" i="9"/>
  <c r="G18" i="9"/>
  <c r="G21" i="9"/>
  <c r="I15" i="9"/>
  <c r="G6" i="9"/>
  <c r="H3" i="9"/>
  <c r="H5" i="9"/>
  <c r="H13" i="9"/>
  <c r="H21" i="9"/>
  <c r="H29" i="9"/>
  <c r="G9" i="9"/>
  <c r="G25" i="9"/>
  <c r="I11" i="9"/>
  <c r="H6" i="9"/>
  <c r="I7" i="9"/>
  <c r="H18" i="9"/>
  <c r="G30" i="9"/>
  <c r="H7" i="9"/>
  <c r="H15" i="9"/>
  <c r="H23" i="9"/>
  <c r="H31" i="9"/>
  <c r="G11" i="9"/>
  <c r="G19" i="9"/>
  <c r="G27" i="9"/>
  <c r="I14" i="9"/>
  <c r="I30" i="9"/>
  <c r="H17" i="9"/>
  <c r="H25" i="9"/>
  <c r="G29" i="9"/>
  <c r="I31" i="9"/>
  <c r="G14" i="9"/>
  <c r="H8" i="9"/>
  <c r="H16" i="9"/>
  <c r="H24" i="9"/>
  <c r="G4" i="9"/>
  <c r="G12" i="9"/>
  <c r="G20" i="9"/>
  <c r="G28" i="9"/>
  <c r="I6" i="9"/>
  <c r="I22" i="9"/>
  <c r="H9" i="9"/>
  <c r="G5" i="9"/>
  <c r="I23" i="9"/>
  <c r="I29" i="9"/>
  <c r="I16" i="9"/>
  <c r="I21" i="9"/>
  <c r="I18" i="9"/>
  <c r="I24" i="9"/>
  <c r="I13" i="9"/>
  <c r="I10" i="9"/>
  <c r="I28" i="9"/>
  <c r="I17" i="9"/>
  <c r="I20" i="9"/>
  <c r="I12" i="9"/>
  <c r="I5" i="9"/>
  <c r="I25" i="9"/>
  <c r="I9" i="9"/>
  <c r="I4" i="9"/>
  <c r="I8" i="9"/>
  <c r="L3" i="9" l="1"/>
  <c r="L27" i="9"/>
  <c r="H32" i="9"/>
  <c r="L5" i="9"/>
  <c r="L18" i="9"/>
  <c r="L22" i="9"/>
  <c r="K32" i="9"/>
  <c r="J32" i="9"/>
  <c r="L15" i="9"/>
  <c r="L19" i="9"/>
  <c r="L28" i="9"/>
  <c r="L11" i="9"/>
  <c r="L8" i="9"/>
  <c r="L17" i="9"/>
  <c r="I32" i="9"/>
  <c r="L12" i="9"/>
  <c r="L30" i="9"/>
  <c r="O30" i="12" s="1"/>
  <c r="L20" i="9"/>
  <c r="O20" i="12" s="1"/>
  <c r="L4" i="9"/>
  <c r="L24" i="9"/>
  <c r="L13" i="9"/>
  <c r="L7" i="9"/>
  <c r="L10" i="9"/>
  <c r="L6" i="9"/>
  <c r="L29" i="9"/>
  <c r="L25" i="9"/>
  <c r="L31" i="9"/>
  <c r="L21" i="9"/>
  <c r="L23" i="9"/>
  <c r="L14" i="9"/>
  <c r="L16" i="9"/>
  <c r="G32" i="9"/>
  <c r="L9" i="9"/>
  <c r="L26" i="9"/>
  <c r="M11" i="9" l="1"/>
  <c r="O11" i="12"/>
  <c r="M12" i="9"/>
  <c r="O12" i="12"/>
  <c r="M10" i="9"/>
  <c r="O10" i="12"/>
  <c r="M14" i="9"/>
  <c r="O14" i="12"/>
  <c r="M7" i="9"/>
  <c r="O7" i="12"/>
  <c r="M17" i="9"/>
  <c r="O17" i="12"/>
  <c r="M22" i="9"/>
  <c r="O22" i="12"/>
  <c r="M26" i="9"/>
  <c r="O26" i="12"/>
  <c r="M6" i="9"/>
  <c r="O6" i="12"/>
  <c r="M16" i="9"/>
  <c r="O16" i="12"/>
  <c r="M23" i="9"/>
  <c r="O23" i="12"/>
  <c r="M13" i="9"/>
  <c r="O13" i="12"/>
  <c r="M8" i="9"/>
  <c r="O8" i="12"/>
  <c r="M18" i="9"/>
  <c r="O18" i="12"/>
  <c r="M21" i="9"/>
  <c r="O21" i="12"/>
  <c r="M5" i="9"/>
  <c r="O5" i="12"/>
  <c r="M31" i="9"/>
  <c r="O31" i="12"/>
  <c r="Q31" i="12" s="1"/>
  <c r="M4" i="9"/>
  <c r="O4" i="12"/>
  <c r="M28" i="9"/>
  <c r="O28" i="12"/>
  <c r="M24" i="9"/>
  <c r="O24" i="12"/>
  <c r="M25" i="9"/>
  <c r="O25" i="12"/>
  <c r="M19" i="9"/>
  <c r="O19" i="12"/>
  <c r="M27" i="9"/>
  <c r="O27" i="12"/>
  <c r="M9" i="9"/>
  <c r="O9" i="12"/>
  <c r="M29" i="9"/>
  <c r="O29" i="12"/>
  <c r="Q29" i="12" s="1"/>
  <c r="M15" i="9"/>
  <c r="O15" i="12"/>
  <c r="Q3" i="12"/>
  <c r="M3" i="9"/>
  <c r="P4" i="12"/>
  <c r="Q4" i="12" s="1"/>
  <c r="M30" i="9"/>
  <c r="M20" i="9"/>
  <c r="L32" i="9"/>
  <c r="O5" i="9" l="1"/>
  <c r="P5" i="9" s="1"/>
  <c r="S5" i="9" s="1"/>
  <c r="R5" i="9"/>
  <c r="R3" i="9"/>
  <c r="O3" i="9"/>
  <c r="O24" i="9"/>
  <c r="P24" i="9" s="1"/>
  <c r="S24" i="9" s="1"/>
  <c r="R24" i="9"/>
  <c r="R3" i="12"/>
  <c r="R27" i="9"/>
  <c r="O27" i="9"/>
  <c r="P27" i="9" s="1"/>
  <c r="S27" i="9" s="1"/>
  <c r="O28" i="9"/>
  <c r="P28" i="9" s="1"/>
  <c r="S28" i="9" s="1"/>
  <c r="R28" i="9"/>
  <c r="R21" i="9"/>
  <c r="O21" i="9"/>
  <c r="P21" i="9" s="1"/>
  <c r="S21" i="9" s="1"/>
  <c r="O23" i="9"/>
  <c r="P23" i="9" s="1"/>
  <c r="S23" i="9" s="1"/>
  <c r="R23" i="9"/>
  <c r="R22" i="9"/>
  <c r="O22" i="9"/>
  <c r="P22" i="9" s="1"/>
  <c r="S22" i="9" s="1"/>
  <c r="O10" i="9"/>
  <c r="P10" i="9" s="1"/>
  <c r="S10" i="9" s="1"/>
  <c r="R10" i="9"/>
  <c r="O26" i="9"/>
  <c r="P26" i="9" s="1"/>
  <c r="S26" i="9" s="1"/>
  <c r="R26" i="9"/>
  <c r="O9" i="9"/>
  <c r="P9" i="9" s="1"/>
  <c r="S9" i="9" s="1"/>
  <c r="R9" i="9"/>
  <c r="O15" i="9"/>
  <c r="P15" i="9" s="1"/>
  <c r="S15" i="9" s="1"/>
  <c r="R15" i="9"/>
  <c r="R19" i="9"/>
  <c r="O19" i="9"/>
  <c r="P19" i="9" s="1"/>
  <c r="S19" i="9" s="1"/>
  <c r="O4" i="9"/>
  <c r="P4" i="9" s="1"/>
  <c r="S4" i="9" s="1"/>
  <c r="R4" i="9"/>
  <c r="O18" i="9"/>
  <c r="P18" i="9" s="1"/>
  <c r="S18" i="9" s="1"/>
  <c r="R18" i="9"/>
  <c r="R16" i="9"/>
  <c r="O16" i="9"/>
  <c r="P16" i="9" s="1"/>
  <c r="S16" i="9" s="1"/>
  <c r="O17" i="9"/>
  <c r="P17" i="9" s="1"/>
  <c r="S17" i="9" s="1"/>
  <c r="R17" i="9"/>
  <c r="O12" i="9"/>
  <c r="P12" i="9" s="1"/>
  <c r="S12" i="9" s="1"/>
  <c r="R12" i="9"/>
  <c r="R14" i="9"/>
  <c r="O14" i="9"/>
  <c r="P14" i="9" s="1"/>
  <c r="S14" i="9" s="1"/>
  <c r="V31" i="12"/>
  <c r="R31" i="12"/>
  <c r="O30" i="9"/>
  <c r="P30" i="9" s="1"/>
  <c r="R30" i="9"/>
  <c r="O13" i="9"/>
  <c r="P13" i="9" s="1"/>
  <c r="S13" i="9" s="1"/>
  <c r="R13" i="9"/>
  <c r="V29" i="12"/>
  <c r="R29" i="12"/>
  <c r="O20" i="9"/>
  <c r="P20" i="9" s="1"/>
  <c r="R20" i="9"/>
  <c r="O29" i="9"/>
  <c r="P29" i="9" s="1"/>
  <c r="S29" i="9" s="1"/>
  <c r="R29" i="9"/>
  <c r="O25" i="9"/>
  <c r="P25" i="9" s="1"/>
  <c r="S25" i="9" s="1"/>
  <c r="R25" i="9"/>
  <c r="O31" i="9"/>
  <c r="P31" i="9" s="1"/>
  <c r="S31" i="9" s="1"/>
  <c r="O8" i="9"/>
  <c r="P8" i="9" s="1"/>
  <c r="S8" i="9" s="1"/>
  <c r="R8" i="9"/>
  <c r="R6" i="9"/>
  <c r="O6" i="9"/>
  <c r="P6" i="9" s="1"/>
  <c r="S6" i="9" s="1"/>
  <c r="O7" i="9"/>
  <c r="P7" i="9" s="1"/>
  <c r="S7" i="9" s="1"/>
  <c r="R7" i="9"/>
  <c r="O11" i="9"/>
  <c r="P11" i="9" s="1"/>
  <c r="S11" i="9" s="1"/>
  <c r="R11" i="9"/>
  <c r="R4" i="12"/>
  <c r="V4" i="12"/>
  <c r="T24" i="12"/>
  <c r="P24" i="12"/>
  <c r="Q24" i="12" s="1"/>
  <c r="T23" i="12"/>
  <c r="P23" i="12"/>
  <c r="Q23" i="12" s="1"/>
  <c r="T17" i="12"/>
  <c r="P17" i="12"/>
  <c r="Q17" i="12" s="1"/>
  <c r="T6" i="12"/>
  <c r="P6" i="12"/>
  <c r="Q6" i="12" s="1"/>
  <c r="T21" i="12"/>
  <c r="P21" i="12"/>
  <c r="Q21" i="12" s="1"/>
  <c r="T18" i="12"/>
  <c r="P18" i="12"/>
  <c r="Q18" i="12" s="1"/>
  <c r="T15" i="12"/>
  <c r="P15" i="12"/>
  <c r="Q15" i="12" s="1"/>
  <c r="T14" i="12"/>
  <c r="P14" i="12"/>
  <c r="Q14" i="12" s="1"/>
  <c r="T16" i="12"/>
  <c r="P16" i="12"/>
  <c r="Q16" i="12" s="1"/>
  <c r="T28" i="12"/>
  <c r="P28" i="12"/>
  <c r="Q28" i="12" s="1"/>
  <c r="T25" i="12"/>
  <c r="P25" i="12"/>
  <c r="Q25" i="12" s="1"/>
  <c r="T5" i="12"/>
  <c r="P5" i="12"/>
  <c r="Q5" i="12" s="1"/>
  <c r="T19" i="12"/>
  <c r="P19" i="12"/>
  <c r="Q19" i="12" s="1"/>
  <c r="T9" i="12"/>
  <c r="P9" i="12"/>
  <c r="Q9" i="12" s="1"/>
  <c r="T10" i="12"/>
  <c r="P10" i="12"/>
  <c r="Q10" i="12" s="1"/>
  <c r="T13" i="12"/>
  <c r="P13" i="12"/>
  <c r="Q13" i="12" s="1"/>
  <c r="T26" i="12"/>
  <c r="P26" i="12"/>
  <c r="Q26" i="12" s="1"/>
  <c r="T7" i="12"/>
  <c r="P7" i="12"/>
  <c r="Q7" i="12" s="1"/>
  <c r="T8" i="12"/>
  <c r="P8" i="12"/>
  <c r="Q8" i="12" s="1"/>
  <c r="T11" i="12"/>
  <c r="P11" i="12"/>
  <c r="Q11" i="12" s="1"/>
  <c r="T22" i="12"/>
  <c r="P22" i="12"/>
  <c r="Q22" i="12" s="1"/>
  <c r="T12" i="12"/>
  <c r="P12" i="12"/>
  <c r="Q12" i="12" s="1"/>
  <c r="T27" i="12"/>
  <c r="P27" i="12"/>
  <c r="Q27" i="12" s="1"/>
  <c r="T4" i="12"/>
  <c r="M32" i="9"/>
  <c r="R32" i="9" l="1"/>
  <c r="R34" i="9" s="1"/>
  <c r="P3" i="9"/>
  <c r="O32" i="9"/>
  <c r="R27" i="12"/>
  <c r="V27" i="12"/>
  <c r="R16" i="12"/>
  <c r="V16" i="12"/>
  <c r="R22" i="12"/>
  <c r="V22" i="12"/>
  <c r="R19" i="12"/>
  <c r="V19" i="12"/>
  <c r="R24" i="12"/>
  <c r="V24" i="12"/>
  <c r="R6" i="12"/>
  <c r="V6" i="12"/>
  <c r="R15" i="12"/>
  <c r="V15" i="12"/>
  <c r="R28" i="12"/>
  <c r="V28" i="12"/>
  <c r="R26" i="12"/>
  <c r="V26" i="12"/>
  <c r="R21" i="12"/>
  <c r="V21" i="12"/>
  <c r="R14" i="12"/>
  <c r="V14" i="12"/>
  <c r="R25" i="12"/>
  <c r="V25" i="12"/>
  <c r="R23" i="12"/>
  <c r="V23" i="12"/>
  <c r="R18" i="12"/>
  <c r="V18" i="12"/>
  <c r="R17" i="12"/>
  <c r="V17" i="12"/>
  <c r="R13" i="12"/>
  <c r="V13" i="12"/>
  <c r="R12" i="12"/>
  <c r="V12" i="12"/>
  <c r="R11" i="12"/>
  <c r="V11" i="12"/>
  <c r="R10" i="12"/>
  <c r="V10" i="12"/>
  <c r="R9" i="12"/>
  <c r="V9" i="12"/>
  <c r="R8" i="12"/>
  <c r="V8" i="12"/>
  <c r="R7" i="12"/>
  <c r="V7" i="12"/>
  <c r="R5" i="12"/>
  <c r="V5" i="12"/>
  <c r="S20" i="9"/>
  <c r="P20" i="12"/>
  <c r="Q20" i="12" s="1"/>
  <c r="S30" i="9"/>
  <c r="O32" i="12"/>
  <c r="P32" i="9" l="1"/>
  <c r="P34" i="9" s="1"/>
  <c r="S3" i="9"/>
  <c r="R20" i="12"/>
  <c r="V20" i="12"/>
  <c r="T30" i="12"/>
  <c r="P30" i="12"/>
  <c r="Q30" i="12" s="1"/>
  <c r="Q32" i="12" s="1"/>
  <c r="T20" i="12"/>
  <c r="R30" i="12" l="1"/>
  <c r="R32" i="12" s="1"/>
  <c r="V30" i="12"/>
  <c r="V32" i="12"/>
  <c r="T32" i="12"/>
  <c r="P32" i="12"/>
</calcChain>
</file>

<file path=xl/sharedStrings.xml><?xml version="1.0" encoding="utf-8"?>
<sst xmlns="http://schemas.openxmlformats.org/spreadsheetml/2006/main" count="323" uniqueCount="210">
  <si>
    <t>L.P.</t>
  </si>
  <si>
    <t>NIERUCHOMOŚĆ</t>
  </si>
  <si>
    <t>Pow. Użytk.
Mieszk., garaży BEZ CZŁONKOWSTWA</t>
  </si>
  <si>
    <t>Pow.Użytk.
Mieszk.,
garaży
posiadając.
CZŁONKOWSTWO</t>
  </si>
  <si>
    <t xml:space="preserve">Turniejowa  61  </t>
  </si>
  <si>
    <t>Turniejowa  65</t>
  </si>
  <si>
    <t xml:space="preserve">Turniejowa  65A </t>
  </si>
  <si>
    <t>Kordiana  52</t>
  </si>
  <si>
    <t>Kordiana  54</t>
  </si>
  <si>
    <t>Kordiana  56</t>
  </si>
  <si>
    <t>Kordiana  58</t>
  </si>
  <si>
    <t>Kordiana  58A</t>
  </si>
  <si>
    <t>Kordiana  58B</t>
  </si>
  <si>
    <t>Kordiana  60</t>
  </si>
  <si>
    <t>Kordiana  66</t>
  </si>
  <si>
    <t>Kordiana  68</t>
  </si>
  <si>
    <t>Orawska   3</t>
  </si>
  <si>
    <t>Starowiślna  88</t>
  </si>
  <si>
    <t>Na Zjeździe  13</t>
  </si>
  <si>
    <t>Ceglarska  21</t>
  </si>
  <si>
    <t>Ceglarska  23</t>
  </si>
  <si>
    <t>Ceglarska  25</t>
  </si>
  <si>
    <t>Ceglarska  27</t>
  </si>
  <si>
    <t>Szwedzka  23</t>
  </si>
  <si>
    <t>Cegl.27A-garaże</t>
  </si>
  <si>
    <t>Piltza 29</t>
  </si>
  <si>
    <t xml:space="preserve">Piltza 33               </t>
  </si>
  <si>
    <t>Suma</t>
  </si>
  <si>
    <t>Św. Jacka  22</t>
  </si>
  <si>
    <t xml:space="preserve">Konopczyńskiego  7     </t>
  </si>
  <si>
    <t>Konopczyńskiego 7A</t>
  </si>
  <si>
    <t>Turniejowa  59</t>
  </si>
  <si>
    <t>Turniejowa  63</t>
  </si>
  <si>
    <t xml:space="preserve">Piltza 35 </t>
  </si>
  <si>
    <t>x</t>
  </si>
  <si>
    <r>
      <t>Ilość m</t>
    </r>
    <r>
      <rPr>
        <b/>
        <vertAlign val="superscript"/>
        <sz val="10"/>
        <rFont val="Arial"/>
        <family val="2"/>
        <charset val="238"/>
      </rPr>
      <t>2</t>
    </r>
    <r>
      <rPr>
        <b/>
        <sz val="10"/>
        <rFont val="Arial"/>
        <family val="2"/>
        <charset val="238"/>
      </rPr>
      <t xml:space="preserve"> 
pow.Użytk.
Mieszkań, garaży i lok.użytk.
</t>
    </r>
  </si>
  <si>
    <t>Ceglarska 27A-garaże</t>
  </si>
  <si>
    <t xml:space="preserve">Ilość m2 
pow.Użytk.
Mieszkań, garaży i lok.użytk.
</t>
  </si>
  <si>
    <t>FW CDD</t>
  </si>
  <si>
    <t>Sprawdzenie:
Wzrost kosztów 
poz. 10</t>
  </si>
  <si>
    <r>
      <t xml:space="preserve">Wykonany
Wynik narastający 
za 2022 r.
do rozliczenia w 2023 r.
</t>
    </r>
    <r>
      <rPr>
        <b/>
        <sz val="10"/>
        <color rgb="FFFF0000"/>
        <rFont val="Arial"/>
        <family val="2"/>
        <charset val="238"/>
      </rPr>
      <t>wg ksiąg rachunkowych</t>
    </r>
  </si>
  <si>
    <t>Przewidywany Wynik za rok 2023 na Eksploatacji</t>
  </si>
  <si>
    <t>Wzrost Konserwacji  o kwotę 
68 618,00 zł</t>
  </si>
  <si>
    <t>Wzrost Usług Sprzątania nieruchomości o kwotę 
170 467,32 zł</t>
  </si>
  <si>
    <t>Wzrost kosztów ubezpieczenia zasobów
 o kwotę 
19 189,00 zł</t>
  </si>
  <si>
    <r>
      <t>Obowiązująca 
stawka eksploatacyjna
od 01.01.2024 r.
w zł/m</t>
    </r>
    <r>
      <rPr>
        <b/>
        <vertAlign val="superscript"/>
        <sz val="10"/>
        <rFont val="Arial"/>
        <family val="2"/>
        <charset val="238"/>
      </rPr>
      <t>2</t>
    </r>
    <r>
      <rPr>
        <b/>
        <sz val="10"/>
        <rFont val="Arial"/>
        <family val="2"/>
        <charset val="238"/>
      </rPr>
      <t>/m-c</t>
    </r>
  </si>
  <si>
    <t>Obowiązująca 
stawka eksploatacyjna
od 1 stycznia 2024 r.</t>
  </si>
  <si>
    <t xml:space="preserve">Planowane
Wpływy z tyt. POŻYTKÓW w nieruchom. w 2024 r.
</t>
  </si>
  <si>
    <t>Przeznaczona nadwyżka bilansowa za 2019 r. i 2020 r. na pokrycie wyniku ujemnego - Uchw. WZ Nr 30 i 31 z dnia 29.06.2023 r.</t>
  </si>
  <si>
    <t>Razem</t>
  </si>
  <si>
    <t>Wyszczególnienie</t>
  </si>
  <si>
    <t>Wzrost pozostałych  kosztów z tyt. inflacji (6,6%)
o kwotę 
101 630 zł</t>
  </si>
  <si>
    <t>Pozost.K/Ekspl</t>
  </si>
  <si>
    <t>Pow. Użytk.
Mieszk., garaży z  CZŁONKOWSTWEM</t>
  </si>
  <si>
    <t>Dofinansowanie kosztów Eksploatacji z NADWYŻKI BILANSOWEJ w wys. 250 000 zł ZA 2023 R. SM"DdM"</t>
  </si>
  <si>
    <r>
      <t xml:space="preserve">Przeznaczenie części </t>
    </r>
    <r>
      <rPr>
        <b/>
        <sz val="10"/>
        <color rgb="FFFF0000"/>
        <rFont val="Arial"/>
        <family val="2"/>
        <charset val="238"/>
      </rPr>
      <t xml:space="preserve">NADWYŻKI BILANSOWEJ ZA 2023 R. </t>
    </r>
    <r>
      <rPr>
        <b/>
        <sz val="10"/>
        <rFont val="Arial"/>
        <family val="2"/>
        <charset val="238"/>
      </rPr>
      <t>dla członków po zatwierdzeniu UCHWAŁĄ przez WZ w 2024 r.</t>
    </r>
  </si>
  <si>
    <r>
      <t>STAWKA
EKSPLOATACYJNA 
dla Lokali Mieszkalnych i Lokali Użytkowych 
obowiązująca 
od 1 stycznia 2024 r.
w zł/m</t>
    </r>
    <r>
      <rPr>
        <b/>
        <vertAlign val="superscript"/>
        <sz val="10"/>
        <rFont val="Arial"/>
        <family val="2"/>
        <charset val="238"/>
      </rPr>
      <t>2</t>
    </r>
  </si>
  <si>
    <r>
      <t>STAWKA
EKSPLOATACYJNA 
dla Garaży i Miejsc Postojowych 
obowiązująca 
od 1 stycznia 2024 r.
w zł/m</t>
    </r>
    <r>
      <rPr>
        <b/>
        <vertAlign val="superscript"/>
        <sz val="10"/>
        <rFont val="Arial"/>
        <family val="2"/>
        <charset val="238"/>
      </rPr>
      <t>2</t>
    </r>
  </si>
  <si>
    <r>
      <t>STAWKA
EKSPLOATACYJNA 
dla</t>
    </r>
    <r>
      <rPr>
        <b/>
        <sz val="10"/>
        <color rgb="FFFF0000"/>
        <rFont val="Arial"/>
        <family val="2"/>
        <charset val="238"/>
      </rPr>
      <t xml:space="preserve"> Lokali Mieszkalnych i Lokali Użytkowych</t>
    </r>
    <r>
      <rPr>
        <b/>
        <sz val="10"/>
        <rFont val="Arial"/>
        <family val="2"/>
        <charset val="238"/>
      </rPr>
      <t xml:space="preserve"> 
obowiązująca 
</t>
    </r>
    <r>
      <rPr>
        <b/>
        <sz val="10"/>
        <color rgb="FFFF0000"/>
        <rFont val="Arial"/>
        <family val="2"/>
        <charset val="238"/>
      </rPr>
      <t>od 1 czerwca 2024 r.</t>
    </r>
    <r>
      <rPr>
        <b/>
        <sz val="10"/>
        <rFont val="Arial"/>
        <family val="2"/>
        <charset val="238"/>
      </rPr>
      <t xml:space="preserve">
w zł/m</t>
    </r>
    <r>
      <rPr>
        <b/>
        <vertAlign val="superscript"/>
        <sz val="10"/>
        <rFont val="Arial"/>
        <family val="2"/>
        <charset val="238"/>
      </rPr>
      <t>2</t>
    </r>
  </si>
  <si>
    <r>
      <t xml:space="preserve">STAWKA
EKSPLOATACYJNA 
dla </t>
    </r>
    <r>
      <rPr>
        <b/>
        <sz val="10"/>
        <color rgb="FFFF0000"/>
        <rFont val="Arial"/>
        <family val="2"/>
        <charset val="238"/>
      </rPr>
      <t>Garaży i Miejsc Postojowych</t>
    </r>
    <r>
      <rPr>
        <b/>
        <sz val="10"/>
        <rFont val="Arial"/>
        <family val="2"/>
        <charset val="238"/>
      </rPr>
      <t xml:space="preserve"> 
obowiązująca 
</t>
    </r>
    <r>
      <rPr>
        <b/>
        <sz val="10"/>
        <color rgb="FFFF0000"/>
        <rFont val="Arial"/>
        <family val="2"/>
        <charset val="238"/>
      </rPr>
      <t>od 1 czerwca 2024 r.</t>
    </r>
    <r>
      <rPr>
        <b/>
        <sz val="10"/>
        <rFont val="Arial"/>
        <family val="2"/>
        <charset val="238"/>
      </rPr>
      <t xml:space="preserve">
w zł/m</t>
    </r>
    <r>
      <rPr>
        <b/>
        <vertAlign val="superscript"/>
        <sz val="10"/>
        <rFont val="Arial"/>
        <family val="2"/>
        <charset val="238"/>
      </rPr>
      <t>2</t>
    </r>
  </si>
  <si>
    <t>Obowiązująca 
stawka eksploatacyjna
od 01.06.2024 r. po zmianie stawki eksploatacyjnej  proponowanej przez Zarząd</t>
  </si>
  <si>
    <t xml:space="preserve">Planowane KOSZTY
na 2024 r.
w oparciu o wykonanie 
kosztów 
w 2023 r.
</t>
  </si>
  <si>
    <t>Razem wzrost kosztów 
w 2023 r.
o kwotę
460 726,32 zł
(rubr. 7 + 8+ 9+10+11)
w zł</t>
  </si>
  <si>
    <r>
      <t>Razem proponowana podwyżka stawki eksploatacyjnej
(rubr. 13 - 14)
[w zł/m</t>
    </r>
    <r>
      <rPr>
        <b/>
        <vertAlign val="superscript"/>
        <sz val="10"/>
        <rFont val="Arial"/>
        <family val="2"/>
        <charset val="238"/>
      </rPr>
      <t>2</t>
    </r>
    <r>
      <rPr>
        <b/>
        <sz val="10"/>
        <rFont val="Arial"/>
        <family val="2"/>
        <charset val="238"/>
      </rPr>
      <t xml:space="preserve"> /m-c]</t>
    </r>
  </si>
  <si>
    <r>
      <t xml:space="preserve"> Stawka Eksploatacyjna uwzględniająca wzrost kosztów obowiązująca 
od 1 czerwca 2024 r.
(rubr. 6 + rubr. 15)
w zł/m</t>
    </r>
    <r>
      <rPr>
        <b/>
        <vertAlign val="superscript"/>
        <sz val="10"/>
        <rFont val="Arial"/>
        <family val="2"/>
        <charset val="238"/>
      </rPr>
      <t>2</t>
    </r>
    <r>
      <rPr>
        <b/>
        <sz val="10"/>
        <rFont val="Arial"/>
        <family val="2"/>
        <charset val="238"/>
      </rPr>
      <t>/m-c</t>
    </r>
  </si>
  <si>
    <r>
      <t>Wyliczenie wzrostu stawki eksploatacyjnej 
w przelicz. 
Na 7 m-cy dot. wzrostu kosztów od rubr. 7 - do
 rubr. 11
(rubr.12/rubr.3/ 7 m-cy)
w zł/m</t>
    </r>
    <r>
      <rPr>
        <b/>
        <vertAlign val="superscript"/>
        <sz val="10"/>
        <rFont val="Arial"/>
        <family val="2"/>
        <charset val="238"/>
      </rPr>
      <t>2</t>
    </r>
  </si>
  <si>
    <t>Wzrost 
stawki eksploatac. od 1 czerwca 2024 r.
(rubr. 17 - rubr. 4)</t>
  </si>
  <si>
    <r>
      <t>STAWKA
EKSPLOATACYJNA 
dla</t>
    </r>
    <r>
      <rPr>
        <b/>
        <sz val="10"/>
        <color rgb="FFFF0000"/>
        <rFont val="Arial"/>
        <family val="2"/>
        <charset val="238"/>
      </rPr>
      <t xml:space="preserve"> Lokali Mieszkalnych i Lokali Użytkowych</t>
    </r>
    <r>
      <rPr>
        <b/>
        <sz val="10"/>
        <rFont val="Arial"/>
        <family val="2"/>
        <charset val="238"/>
      </rPr>
      <t xml:space="preserve"> </t>
    </r>
    <r>
      <rPr>
        <b/>
        <sz val="10"/>
        <color rgb="FF0070C0"/>
        <rFont val="Arial"/>
        <family val="2"/>
        <charset val="238"/>
      </rPr>
      <t xml:space="preserve">dla </t>
    </r>
    <r>
      <rPr>
        <b/>
        <sz val="10"/>
        <rFont val="Arial"/>
        <family val="2"/>
        <charset val="238"/>
      </rPr>
      <t>NIECZŁONKÓW
obowiązująca 
od 1 listopada 2024 r.
w zł/m</t>
    </r>
    <r>
      <rPr>
        <b/>
        <vertAlign val="superscript"/>
        <sz val="10"/>
        <rFont val="Arial"/>
        <family val="2"/>
        <charset val="238"/>
      </rPr>
      <t>2</t>
    </r>
  </si>
  <si>
    <r>
      <t xml:space="preserve">STAWKA
EKSPLOATACYJNA 
dla </t>
    </r>
    <r>
      <rPr>
        <b/>
        <sz val="10"/>
        <color rgb="FFFF0000"/>
        <rFont val="Arial"/>
        <family val="2"/>
        <charset val="238"/>
      </rPr>
      <t>Garaży i Miejsc Postojowych</t>
    </r>
    <r>
      <rPr>
        <b/>
        <sz val="10"/>
        <rFont val="Arial"/>
        <family val="2"/>
        <charset val="238"/>
      </rPr>
      <t xml:space="preserve"> </t>
    </r>
    <r>
      <rPr>
        <b/>
        <sz val="10"/>
        <color rgb="FF0070C0"/>
        <rFont val="Arial"/>
        <family val="2"/>
        <charset val="238"/>
      </rPr>
      <t xml:space="preserve">dla </t>
    </r>
    <r>
      <rPr>
        <b/>
        <sz val="10"/>
        <rFont val="Arial"/>
        <family val="2"/>
        <charset val="238"/>
      </rPr>
      <t xml:space="preserve">NIECZŁONKÓW
obowiązująca 
</t>
    </r>
    <r>
      <rPr>
        <b/>
        <sz val="10"/>
        <color rgb="FFFF0000"/>
        <rFont val="Arial"/>
        <family val="2"/>
        <charset val="238"/>
      </rPr>
      <t>od 1 listopada 2024 r.</t>
    </r>
    <r>
      <rPr>
        <b/>
        <sz val="10"/>
        <rFont val="Arial"/>
        <family val="2"/>
        <charset val="238"/>
      </rPr>
      <t xml:space="preserve">
w zł/m</t>
    </r>
    <r>
      <rPr>
        <b/>
        <vertAlign val="superscript"/>
        <sz val="10"/>
        <rFont val="Arial"/>
        <family val="2"/>
        <charset val="238"/>
      </rPr>
      <t>2</t>
    </r>
  </si>
  <si>
    <r>
      <t>Wzrost stawki eksploatacyjnej w roku 2024 od 1 czerwca 2024 w zł/m</t>
    </r>
    <r>
      <rPr>
        <b/>
        <vertAlign val="superscript"/>
        <sz val="10"/>
        <rFont val="Arial"/>
        <family val="2"/>
        <charset val="238"/>
      </rPr>
      <t>2</t>
    </r>
  </si>
  <si>
    <r>
      <t>WZROST STAWKI
EKSPLOATACYJNA 
dla</t>
    </r>
    <r>
      <rPr>
        <b/>
        <sz val="10"/>
        <color rgb="FFFF0000"/>
        <rFont val="Arial"/>
        <family val="2"/>
        <charset val="238"/>
      </rPr>
      <t xml:space="preserve"> Lokali Mieszkalnych i Lokali Użytkowych</t>
    </r>
    <r>
      <rPr>
        <b/>
        <sz val="10"/>
        <rFont val="Arial"/>
        <family val="2"/>
        <charset val="238"/>
      </rPr>
      <t xml:space="preserve"> </t>
    </r>
    <r>
      <rPr>
        <b/>
        <sz val="10"/>
        <color rgb="FF0070C0"/>
        <rFont val="Arial"/>
        <family val="2"/>
        <charset val="238"/>
      </rPr>
      <t xml:space="preserve">dla </t>
    </r>
    <r>
      <rPr>
        <b/>
        <sz val="10"/>
        <rFont val="Arial"/>
        <family val="2"/>
        <charset val="238"/>
      </rPr>
      <t>NIECZŁONKÓW
od 1 XI 2024 r.
w zł/m</t>
    </r>
    <r>
      <rPr>
        <b/>
        <vertAlign val="superscript"/>
        <sz val="10"/>
        <rFont val="Arial"/>
        <family val="2"/>
        <charset val="238"/>
      </rPr>
      <t>2</t>
    </r>
  </si>
  <si>
    <t>Osobowy fundusz płac w SM w roku 2023</t>
  </si>
  <si>
    <t>Propozycja -Osobowy fundusz płac w SM w roku 2024</t>
  </si>
  <si>
    <t>Fundusz Płac Zasadniczej (zł)</t>
  </si>
  <si>
    <t>Premia 20% (zł)</t>
  </si>
  <si>
    <t>Zarząd</t>
  </si>
  <si>
    <t>Księgowość</t>
  </si>
  <si>
    <t>Dział Techniczny</t>
  </si>
  <si>
    <t>Koszty Zarządu</t>
  </si>
  <si>
    <t>Koszty eksploatacji</t>
  </si>
  <si>
    <t>L.p.</t>
  </si>
  <si>
    <t>ULICA NR BUDYNKU</t>
  </si>
  <si>
    <r>
      <t>POWIERZCHNIA UŻYTKOWA LOKALI MIESZKALNYCH w [m</t>
    </r>
    <r>
      <rPr>
        <b/>
        <vertAlign val="superscript"/>
        <sz val="11"/>
        <color rgb="FF000000"/>
        <rFont val="Times New Roman"/>
        <family val="1"/>
        <charset val="238"/>
      </rPr>
      <t>2</t>
    </r>
    <r>
      <rPr>
        <b/>
        <sz val="11"/>
        <color rgb="FF000000"/>
        <rFont val="Times New Roman"/>
        <family val="1"/>
        <charset val="238"/>
      </rPr>
      <t>]</t>
    </r>
  </si>
  <si>
    <r>
      <t>POWIERZCHNIA UŻYTKOWA GARAŻY I MIEJSC POSTOJOWYCH w [m</t>
    </r>
    <r>
      <rPr>
        <b/>
        <vertAlign val="superscript"/>
        <sz val="11"/>
        <color rgb="FF000000"/>
        <rFont val="Times New Roman"/>
        <family val="1"/>
        <charset val="238"/>
      </rPr>
      <t>2</t>
    </r>
    <r>
      <rPr>
        <b/>
        <sz val="11"/>
        <color rgb="FF000000"/>
        <rFont val="Times New Roman"/>
        <family val="1"/>
        <charset val="238"/>
      </rPr>
      <t>]</t>
    </r>
  </si>
  <si>
    <r>
      <t>POWIERZCHNIA UŻYTKOWA LOKALI USŁUGOWYCH w [m</t>
    </r>
    <r>
      <rPr>
        <b/>
        <vertAlign val="superscript"/>
        <sz val="11"/>
        <color rgb="FF000000"/>
        <rFont val="Times New Roman"/>
        <family val="1"/>
        <charset val="238"/>
      </rPr>
      <t>2</t>
    </r>
    <r>
      <rPr>
        <b/>
        <sz val="11"/>
        <color rgb="FF000000"/>
        <rFont val="Times New Roman"/>
        <family val="1"/>
        <charset val="238"/>
      </rPr>
      <t>]</t>
    </r>
  </si>
  <si>
    <t>TURNIEJOWA 59</t>
  </si>
  <si>
    <t>TURNIEJOWA 61</t>
  </si>
  <si>
    <t>TURNIEJOWA 63</t>
  </si>
  <si>
    <t>TURNIEJOWA 65</t>
  </si>
  <si>
    <t>TURNIEJOWA 65A</t>
  </si>
  <si>
    <t>KORDIANA 52</t>
  </si>
  <si>
    <t>KORDIANA 54</t>
  </si>
  <si>
    <t>KORDIANA 56</t>
  </si>
  <si>
    <t>KORDIANA 58</t>
  </si>
  <si>
    <t>KORDIANA 58A</t>
  </si>
  <si>
    <t>KORDIANA 58B</t>
  </si>
  <si>
    <t>KORDIANA 60</t>
  </si>
  <si>
    <t>KORDIANA 66</t>
  </si>
  <si>
    <t>KORDIANA 68</t>
  </si>
  <si>
    <t>SZWEDZKA 23</t>
  </si>
  <si>
    <t>ORAWSKA 3</t>
  </si>
  <si>
    <t>STAROWIŚLNA 88</t>
  </si>
  <si>
    <t>NA ZJEŹDZIE 13</t>
  </si>
  <si>
    <t>CEGLARSKA 21</t>
  </si>
  <si>
    <t>CEGLARSKA 23</t>
  </si>
  <si>
    <t>CEGLARSKA 25</t>
  </si>
  <si>
    <t>CEGLARSKA 27</t>
  </si>
  <si>
    <t>ŚW. JACKA 22</t>
  </si>
  <si>
    <t>OBOZOWA 58A</t>
  </si>
  <si>
    <t>KONOPCZYŃSKIEGO 7</t>
  </si>
  <si>
    <t>KONOPCZYŃSKIEGO 7A</t>
  </si>
  <si>
    <t>J. PILTZA 29</t>
  </si>
  <si>
    <t>J. PILTZA 33</t>
  </si>
  <si>
    <t>J. PILTZA 35</t>
  </si>
  <si>
    <t>CEGLARSKA 27A</t>
  </si>
  <si>
    <t>RAZEM:</t>
  </si>
  <si>
    <t>Plan 2023</t>
  </si>
  <si>
    <t>Przewidywane Wykonanie</t>
  </si>
  <si>
    <t>Kosztów Zarządu</t>
  </si>
  <si>
    <t>za 2023 rok</t>
  </si>
  <si>
    <t>Wsk. kosztów</t>
  </si>
  <si>
    <t>w stos. do Planu</t>
  </si>
  <si>
    <t>2023 r.</t>
  </si>
  <si>
    <t xml:space="preserve"> w %</t>
  </si>
  <si>
    <t>Plan 2024</t>
  </si>
  <si>
    <t>Wskaźnik</t>
  </si>
  <si>
    <t>Plan 2024 do</t>
  </si>
  <si>
    <t>wykon. 2023</t>
  </si>
  <si>
    <t>w %</t>
  </si>
  <si>
    <t>R-ca</t>
  </si>
  <si>
    <t>Plan 2024 do Wykon. 2023</t>
  </si>
  <si>
    <t>w zł</t>
  </si>
  <si>
    <t>Amortyzacja</t>
  </si>
  <si>
    <t>Materiały i energia</t>
  </si>
  <si>
    <t>Usługi obce</t>
  </si>
  <si>
    <t>Pozostałe koszty materialne</t>
  </si>
  <si>
    <t>Osobowy Fundusz Płac</t>
  </si>
  <si>
    <t>Bezosobowy Fundusz Płac</t>
  </si>
  <si>
    <t>Składki ZUS</t>
  </si>
  <si>
    <t>Świadczenia socjalne</t>
  </si>
  <si>
    <t>Podatki i opłaty</t>
  </si>
  <si>
    <t>Usługi bankowe</t>
  </si>
  <si>
    <t>Delegacje i ryczałty</t>
  </si>
  <si>
    <t>Pozostałe koszty niemater.</t>
  </si>
  <si>
    <t>RODZAJ DZIAŁALNOŚCI</t>
  </si>
  <si>
    <t>Plan 2023 r.</t>
  </si>
  <si>
    <t>Przewidywanewykonanie za 
2023 r.</t>
  </si>
  <si>
    <t>Wsk. Wykon. do Planu 2023 w %</t>
  </si>
  <si>
    <t>Plan 2024 r.</t>
  </si>
  <si>
    <t>Wsk. Wzrostu 2024/2023
w %</t>
  </si>
  <si>
    <t>I</t>
  </si>
  <si>
    <t>EKSPLOATACJA OGÓŁEM</t>
  </si>
  <si>
    <t>KOSZTY w tym:</t>
  </si>
  <si>
    <t>w tym:</t>
  </si>
  <si>
    <t>1.1</t>
  </si>
  <si>
    <t>Eksploatacja</t>
  </si>
  <si>
    <t>1.2</t>
  </si>
  <si>
    <t>Zimna Woda</t>
  </si>
  <si>
    <t>1.3</t>
  </si>
  <si>
    <t>Ciepła Woda</t>
  </si>
  <si>
    <t>1.4</t>
  </si>
  <si>
    <t>Wywóz nieczystości  */</t>
  </si>
  <si>
    <t>1.5</t>
  </si>
  <si>
    <t>Telewizja Kablowa UPC + Azart</t>
  </si>
  <si>
    <t>1.6</t>
  </si>
  <si>
    <t>Podatek od nieruchomości</t>
  </si>
  <si>
    <t>1.7</t>
  </si>
  <si>
    <t>Centralne ogrzewanie</t>
  </si>
  <si>
    <t xml:space="preserve">RAZEM KOSZTY </t>
  </si>
  <si>
    <t>WPŁYWY w tym:</t>
  </si>
  <si>
    <t>2.1</t>
  </si>
  <si>
    <t>2.2</t>
  </si>
  <si>
    <t>2.3</t>
  </si>
  <si>
    <t>2.4</t>
  </si>
  <si>
    <t>Wywóz nieczystości</t>
  </si>
  <si>
    <t>2.5</t>
  </si>
  <si>
    <t>2.6</t>
  </si>
  <si>
    <t>2.8</t>
  </si>
  <si>
    <t xml:space="preserve">RAZEM WPŁYWY </t>
  </si>
  <si>
    <t xml:space="preserve">WYNIK </t>
  </si>
  <si>
    <t>3.1</t>
  </si>
  <si>
    <t>3.2</t>
  </si>
  <si>
    <t>3.3</t>
  </si>
  <si>
    <t>3.4</t>
  </si>
  <si>
    <t>3.5</t>
  </si>
  <si>
    <t>3.6</t>
  </si>
  <si>
    <t>3.8</t>
  </si>
  <si>
    <t>Planowany Wynik narastający na Eksploatacji za 2022 do rozliczenia w 2023</t>
  </si>
  <si>
    <t>Wykonany Wynik narastający na Eksploatacji za 2022 do rozliczenia w 2023</t>
  </si>
  <si>
    <t>Planowany wynik na Eksploatacji za rok  2023</t>
  </si>
  <si>
    <t>Nadwyżka bilansowa za 2019 r. i 2020 r. dofinans. Kosztów  Eksploatacji zgodnie z Uchw. WZ Nr 30 i 31 z dnia 29.06.2023 r.</t>
  </si>
  <si>
    <t>PLANOWANY WYNIK na 31.12.2023 r.</t>
  </si>
  <si>
    <t>Nadwyżka Bilansowa za 2023 r. preznaczona na dofinans. Kosztów  Eksploatacji do decyzji WZ w VI.2024 r.</t>
  </si>
  <si>
    <r>
      <t>Wpływy w 2024 r. od nieczłonków w wys. 0,38 zł/m</t>
    </r>
    <r>
      <rPr>
        <b/>
        <vertAlign val="superscript"/>
        <sz val="10"/>
        <rFont val="Arial CE"/>
        <charset val="238"/>
      </rPr>
      <t xml:space="preserve">2 
 </t>
    </r>
    <r>
      <rPr>
        <b/>
        <sz val="10"/>
        <rFont val="Arial CE"/>
        <charset val="238"/>
      </rPr>
      <t xml:space="preserve"> za 2-ch miesiące</t>
    </r>
  </si>
  <si>
    <t>Ogółem PLANOWANY WYNIK na EKSPLOATACJI 
na 31.12.2024 r.</t>
  </si>
  <si>
    <t>*/</t>
  </si>
  <si>
    <t xml:space="preserve">W pozycji 1.4 :Wywóz nieczystości nie założono ich wzrostu w 2024 roku, z uwagi na brak informacji z MPGO w tej sprawie na dzień porządzenia </t>
  </si>
  <si>
    <t>Planu Finansowo - Gospodarczego na rok 2024</t>
  </si>
  <si>
    <t>Przewidywany
Wynik za 2023 uwzględniający wynik narastający na 31.12.2022 r. do rozliczenia w 2024 r.
(rubr. 7+ 
rubr. 8 + rubr.9)</t>
  </si>
  <si>
    <t>Wynik na EKSPLOATACJI za 2024 rok 
(rubr.16-15)</t>
  </si>
  <si>
    <t>Ogółem wynik na 31.12.2024 r. 
(rubr.10+17)</t>
  </si>
  <si>
    <t>Łączny wynik na Eksplotacji za rok bieżący obejmujący pozycje: 3.1, 3.4, 3.5 i 3.6</t>
  </si>
  <si>
    <t>Eksploatacja (w tym pożytki)</t>
  </si>
  <si>
    <t>Przewidywany wynik narastający na Eksploatacji na 31.12.2023 r. Do rozlicznia w 2024 r. w tym wynik na Eksploatacji za 2023 r. tj. 156 598,47 zł oraz Nadwyżka bilansowa za 2019 i 2020 r. tj. 184 330,63 zł</t>
  </si>
  <si>
    <t>PLANOWANE 
WPŁYWY NA
EKSPLOATACJI 
W 2024 r. za 2 m-ce
od NIECZŁONKÓW Sp-ni w wys.
 dot. przezn. nadwyżki bilansowej za 2019, 2020 i 2023 r.</t>
  </si>
  <si>
    <t>Planowane WPŁYWY 
na 2024 r. 
(rubr. 3 *rubr.6 *5 m-cy + rubr.19 * rubr. 3 *7 m-cy) + planowane  Pożytki w wys. 
43 643,65 zł  rubr. 11+ NADWYŻKA BILANSOWA rubr.12 + rubr. 13)</t>
  </si>
  <si>
    <t>Propozycja RN</t>
  </si>
  <si>
    <t>Sprawdzenie</t>
  </si>
  <si>
    <t>Podwyżki dla pracowników, które będą obowiązywać od 1.01.2024 r., stąd 
wzrost F-szu Płac w wys. o 84 960 zł + Narzuty ZUS o kwotę 16 550 zł razem: 
101 510,00 zł</t>
  </si>
  <si>
    <t xml:space="preserve">Planowane KOSZTY
na 2024 r. (powiększone o koszty w wysokości 
461 414,32 zł 
z zał. Nr 6.1 do Planu)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</si>
</sst>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z_ł_-;\-* #,##0.00\ _z_ł_-;_-* &quot;-&quot;??\ _z_ł_-;_-@_-"/>
    <numFmt numFmtId="165" formatCode="#,##0.00_ ;\-#,##0.00\ "/>
    <numFmt numFmtId="166" formatCode="#,##0.0000"/>
    <numFmt numFmtId="167" formatCode="#,##0.00&quot; &quot;[$zł-415];[Red]&quot;-&quot;#,##0.00&quot; &quot;[$zł-415]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10"/>
      <name val="Arial CE"/>
      <family val="2"/>
      <charset val="238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sz val="12"/>
      <color theme="1"/>
      <name val="Calibri"/>
      <family val="2"/>
      <scheme val="minor"/>
    </font>
    <font>
      <b/>
      <vertAlign val="superscript"/>
      <sz val="10"/>
      <name val="Arial"/>
      <family val="2"/>
      <charset val="238"/>
    </font>
    <font>
      <b/>
      <i/>
      <sz val="11"/>
      <name val="Arial CE"/>
      <family val="2"/>
      <charset val="238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0"/>
      <color rgb="FFFF0000"/>
      <name val="Arial"/>
      <family val="2"/>
      <charset val="238"/>
    </font>
    <font>
      <b/>
      <sz val="10"/>
      <color rgb="FF0070C0"/>
      <name val="Arial"/>
      <family val="2"/>
      <charset val="238"/>
    </font>
    <font>
      <sz val="8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b/>
      <i/>
      <sz val="10"/>
      <name val="Arial CE"/>
      <family val="2"/>
      <charset val="238"/>
    </font>
    <font>
      <sz val="10"/>
      <color theme="1"/>
      <name val="Calibri"/>
      <family val="2"/>
      <scheme val="minor"/>
    </font>
    <font>
      <b/>
      <sz val="10"/>
      <color theme="3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b/>
      <sz val="12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rgb="FF000000"/>
      <name val="Times New Roman"/>
      <family val="1"/>
      <charset val="238"/>
    </font>
    <font>
      <b/>
      <vertAlign val="superscript"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0"/>
      <color rgb="FF000000"/>
      <name val="Calibri"/>
      <family val="2"/>
      <charset val="238"/>
      <scheme val="minor"/>
    </font>
    <font>
      <b/>
      <sz val="11"/>
      <name val="Arial CE"/>
      <charset val="238"/>
    </font>
    <font>
      <b/>
      <sz val="10"/>
      <name val="Arial CE"/>
      <charset val="238"/>
    </font>
    <font>
      <sz val="11"/>
      <name val="Arial CE"/>
      <charset val="238"/>
    </font>
    <font>
      <b/>
      <vertAlign val="superscript"/>
      <sz val="10"/>
      <name val="Arial CE"/>
      <charset val="238"/>
    </font>
  </fonts>
  <fills count="14">
    <fill>
      <patternFill patternType="none"/>
    </fill>
    <fill>
      <patternFill patternType="gray125"/>
    </fill>
    <fill>
      <patternFill patternType="solid">
        <fgColor rgb="FFC1FFE0"/>
        <bgColor indexed="64"/>
      </patternFill>
    </fill>
    <fill>
      <patternFill patternType="solid">
        <fgColor rgb="FFFFE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66"/>
        <bgColor rgb="FFFFFF66"/>
      </patternFill>
    </fill>
    <fill>
      <patternFill patternType="solid">
        <fgColor rgb="FF00FF66"/>
        <bgColor rgb="FF00FF66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D966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 style="medium">
        <color indexed="64"/>
      </bottom>
      <diagonal/>
    </border>
    <border>
      <left/>
      <right/>
      <top style="double">
        <color rgb="FF000000"/>
      </top>
      <bottom style="medium">
        <color indexed="64"/>
      </bottom>
      <diagonal/>
    </border>
    <border>
      <left style="medium">
        <color rgb="FF000000"/>
      </left>
      <right/>
      <top style="double">
        <color rgb="FF000000"/>
      </top>
      <bottom style="medium">
        <color indexed="64"/>
      </bottom>
      <diagonal/>
    </border>
    <border>
      <left style="medium">
        <color rgb="FF000000"/>
      </left>
      <right style="double">
        <color rgb="FF000000"/>
      </right>
      <top style="double">
        <color rgb="FF000000"/>
      </top>
      <bottom style="medium">
        <color indexed="64"/>
      </bottom>
      <diagonal/>
    </border>
    <border>
      <left style="double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164" fontId="2" fillId="0" borderId="0" applyFont="0" applyFill="0" applyBorder="0" applyAlignment="0" applyProtection="0"/>
    <xf numFmtId="0" fontId="28" fillId="0" borderId="0"/>
    <xf numFmtId="0" fontId="29" fillId="0" borderId="0">
      <alignment horizontal="center"/>
    </xf>
    <xf numFmtId="0" fontId="29" fillId="0" borderId="0">
      <alignment horizontal="center" textRotation="90"/>
    </xf>
    <xf numFmtId="0" fontId="30" fillId="0" borderId="0"/>
    <xf numFmtId="167" fontId="30" fillId="0" borderId="0"/>
  </cellStyleXfs>
  <cellXfs count="186">
    <xf numFmtId="0" fontId="0" fillId="0" borderId="0" xfId="0"/>
    <xf numFmtId="10" fontId="0" fillId="0" borderId="0" xfId="2" applyNumberFormat="1" applyFont="1"/>
    <xf numFmtId="4" fontId="0" fillId="0" borderId="0" xfId="0" applyNumberFormat="1"/>
    <xf numFmtId="4" fontId="9" fillId="0" borderId="2" xfId="0" applyNumberFormat="1" applyFont="1" applyBorder="1"/>
    <xf numFmtId="0" fontId="12" fillId="0" borderId="0" xfId="0" applyFont="1" applyAlignment="1">
      <alignment horizontal="center"/>
    </xf>
    <xf numFmtId="4" fontId="3" fillId="0" borderId="0" xfId="0" applyNumberFormat="1" applyFont="1"/>
    <xf numFmtId="0" fontId="3" fillId="0" borderId="2" xfId="0" applyFont="1" applyBorder="1" applyAlignment="1">
      <alignment horizontal="center" vertical="center" wrapText="1"/>
    </xf>
    <xf numFmtId="0" fontId="0" fillId="0" borderId="2" xfId="0" applyBorder="1"/>
    <xf numFmtId="4" fontId="9" fillId="0" borderId="0" xfId="0" applyNumberFormat="1" applyFont="1"/>
    <xf numFmtId="0" fontId="16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2" xfId="0" applyFont="1" applyBorder="1"/>
    <xf numFmtId="0" fontId="11" fillId="0" borderId="2" xfId="3" applyFont="1" applyBorder="1"/>
    <xf numFmtId="165" fontId="11" fillId="0" borderId="2" xfId="3" applyNumberFormat="1" applyFont="1" applyBorder="1" applyAlignment="1">
      <alignment horizontal="right"/>
    </xf>
    <xf numFmtId="4" fontId="0" fillId="0" borderId="0" xfId="2" applyNumberFormat="1" applyFont="1"/>
    <xf numFmtId="0" fontId="6" fillId="0" borderId="2" xfId="3" applyBorder="1"/>
    <xf numFmtId="165" fontId="6" fillId="0" borderId="2" xfId="1" applyNumberFormat="1" applyFont="1" applyFill="1" applyBorder="1" applyAlignment="1">
      <alignment horizontal="right"/>
    </xf>
    <xf numFmtId="165" fontId="7" fillId="0" borderId="2" xfId="1" applyNumberFormat="1" applyFont="1" applyFill="1" applyBorder="1" applyAlignment="1">
      <alignment horizontal="right"/>
    </xf>
    <xf numFmtId="165" fontId="0" fillId="0" borderId="2" xfId="0" applyNumberFormat="1" applyBorder="1" applyAlignment="1">
      <alignment horizontal="right"/>
    </xf>
    <xf numFmtId="4" fontId="14" fillId="0" borderId="2" xfId="0" applyNumberFormat="1" applyFont="1" applyBorder="1" applyAlignment="1">
      <alignment horizontal="center"/>
    </xf>
    <xf numFmtId="4" fontId="0" fillId="0" borderId="2" xfId="0" applyNumberFormat="1" applyBorder="1"/>
    <xf numFmtId="165" fontId="6" fillId="0" borderId="2" xfId="1" applyNumberFormat="1" applyFont="1" applyFill="1" applyBorder="1" applyAlignment="1">
      <alignment horizontal="center"/>
    </xf>
    <xf numFmtId="165" fontId="0" fillId="0" borderId="2" xfId="1" applyNumberFormat="1" applyFont="1" applyFill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11" fillId="0" borderId="2" xfId="3" applyNumberFormat="1" applyFont="1" applyBorder="1" applyAlignment="1">
      <alignment horizontal="center"/>
    </xf>
    <xf numFmtId="4" fontId="15" fillId="0" borderId="2" xfId="0" applyNumberFormat="1" applyFont="1" applyBorder="1"/>
    <xf numFmtId="4" fontId="18" fillId="0" borderId="2" xfId="0" applyNumberFormat="1" applyFont="1" applyBorder="1" applyAlignment="1">
      <alignment horizontal="center"/>
    </xf>
    <xf numFmtId="166" fontId="0" fillId="0" borderId="0" xfId="0" applyNumberFormat="1"/>
    <xf numFmtId="164" fontId="4" fillId="0" borderId="2" xfId="1" applyFont="1" applyBorder="1" applyAlignment="1">
      <alignment horizontal="center" vertical="center" wrapText="1"/>
    </xf>
    <xf numFmtId="165" fontId="1" fillId="0" borderId="2" xfId="0" applyNumberFormat="1" applyFont="1" applyBorder="1"/>
    <xf numFmtId="0" fontId="8" fillId="0" borderId="0" xfId="0" applyFont="1"/>
    <xf numFmtId="0" fontId="11" fillId="0" borderId="0" xfId="3" applyFont="1"/>
    <xf numFmtId="165" fontId="11" fillId="0" borderId="0" xfId="3" applyNumberFormat="1" applyFont="1" applyAlignment="1">
      <alignment horizontal="right"/>
    </xf>
    <xf numFmtId="165" fontId="11" fillId="0" borderId="0" xfId="3" applyNumberFormat="1" applyFont="1" applyAlignment="1">
      <alignment horizontal="center"/>
    </xf>
    <xf numFmtId="4" fontId="15" fillId="0" borderId="0" xfId="0" applyNumberFormat="1" applyFont="1"/>
    <xf numFmtId="4" fontId="17" fillId="0" borderId="0" xfId="0" applyNumberFormat="1" applyFont="1"/>
    <xf numFmtId="4" fontId="22" fillId="0" borderId="0" xfId="0" applyNumberFormat="1" applyFont="1"/>
    <xf numFmtId="0" fontId="23" fillId="0" borderId="0" xfId="3" applyFont="1"/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4" fillId="0" borderId="2" xfId="0" applyFont="1" applyBorder="1"/>
    <xf numFmtId="4" fontId="24" fillId="0" borderId="2" xfId="0" applyNumberFormat="1" applyFont="1" applyBorder="1" applyAlignment="1">
      <alignment horizontal="center"/>
    </xf>
    <xf numFmtId="4" fontId="24" fillId="0" borderId="2" xfId="0" applyNumberFormat="1" applyFont="1" applyBorder="1"/>
    <xf numFmtId="4" fontId="24" fillId="3" borderId="2" xfId="0" applyNumberFormat="1" applyFont="1" applyFill="1" applyBorder="1"/>
    <xf numFmtId="4" fontId="13" fillId="2" borderId="2" xfId="0" applyNumberFormat="1" applyFont="1" applyFill="1" applyBorder="1" applyAlignment="1">
      <alignment horizontal="center"/>
    </xf>
    <xf numFmtId="0" fontId="4" fillId="0" borderId="2" xfId="0" applyFont="1" applyBorder="1"/>
    <xf numFmtId="0" fontId="23" fillId="0" borderId="2" xfId="3" applyFont="1" applyBorder="1"/>
    <xf numFmtId="165" fontId="23" fillId="0" borderId="2" xfId="3" applyNumberFormat="1" applyFont="1" applyBorder="1" applyAlignment="1">
      <alignment horizontal="right"/>
    </xf>
    <xf numFmtId="4" fontId="13" fillId="0" borderId="2" xfId="0" applyNumberFormat="1" applyFont="1" applyBorder="1" applyAlignment="1">
      <alignment horizontal="center"/>
    </xf>
    <xf numFmtId="4" fontId="13" fillId="0" borderId="2" xfId="0" applyNumberFormat="1" applyFont="1" applyBorder="1"/>
    <xf numFmtId="4" fontId="13" fillId="3" borderId="2" xfId="0" applyNumberFormat="1" applyFont="1" applyFill="1" applyBorder="1" applyAlignment="1">
      <alignment horizontal="center"/>
    </xf>
    <xf numFmtId="4" fontId="24" fillId="0" borderId="0" xfId="0" applyNumberFormat="1" applyFont="1"/>
    <xf numFmtId="4" fontId="25" fillId="0" borderId="0" xfId="0" applyNumberFormat="1" applyFont="1"/>
    <xf numFmtId="4" fontId="16" fillId="0" borderId="0" xfId="0" applyNumberFormat="1" applyFont="1"/>
    <xf numFmtId="4" fontId="0" fillId="0" borderId="0" xfId="0" applyNumberFormat="1" applyAlignment="1">
      <alignment horizontal="right"/>
    </xf>
    <xf numFmtId="0" fontId="26" fillId="0" borderId="0" xfId="0" applyFont="1"/>
    <xf numFmtId="0" fontId="14" fillId="0" borderId="0" xfId="0" applyFont="1" applyAlignment="1">
      <alignment wrapText="1"/>
    </xf>
    <xf numFmtId="164" fontId="4" fillId="0" borderId="2" xfId="1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17" fillId="0" borderId="2" xfId="0" applyNumberFormat="1" applyFont="1" applyBorder="1"/>
    <xf numFmtId="0" fontId="3" fillId="0" borderId="0" xfId="0" applyFont="1"/>
    <xf numFmtId="165" fontId="7" fillId="0" borderId="2" xfId="0" applyNumberFormat="1" applyFont="1" applyBorder="1" applyAlignment="1">
      <alignment horizontal="right"/>
    </xf>
    <xf numFmtId="3" fontId="3" fillId="0" borderId="0" xfId="0" applyNumberFormat="1" applyFont="1"/>
    <xf numFmtId="4" fontId="27" fillId="0" borderId="2" xfId="0" applyNumberFormat="1" applyFont="1" applyBorder="1"/>
    <xf numFmtId="4" fontId="9" fillId="0" borderId="5" xfId="0" applyNumberFormat="1" applyFont="1" applyBorder="1"/>
    <xf numFmtId="0" fontId="4" fillId="5" borderId="2" xfId="0" applyFont="1" applyFill="1" applyBorder="1" applyAlignment="1">
      <alignment horizontal="center" vertical="center" wrapText="1"/>
    </xf>
    <xf numFmtId="4" fontId="18" fillId="5" borderId="2" xfId="0" applyNumberFormat="1" applyFont="1" applyFill="1" applyBorder="1" applyAlignment="1">
      <alignment horizontal="center"/>
    </xf>
    <xf numFmtId="4" fontId="14" fillId="5" borderId="2" xfId="0" applyNumberFormat="1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 vertical="center" wrapText="1"/>
    </xf>
    <xf numFmtId="4" fontId="18" fillId="6" borderId="2" xfId="0" applyNumberFormat="1" applyFont="1" applyFill="1" applyBorder="1" applyAlignment="1">
      <alignment horizontal="center"/>
    </xf>
    <xf numFmtId="4" fontId="14" fillId="0" borderId="2" xfId="0" applyNumberFormat="1" applyFont="1" applyBorder="1"/>
    <xf numFmtId="0" fontId="3" fillId="7" borderId="2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4" fontId="15" fillId="7" borderId="2" xfId="0" applyNumberFormat="1" applyFont="1" applyFill="1" applyBorder="1"/>
    <xf numFmtId="4" fontId="28" fillId="8" borderId="2" xfId="5" applyNumberFormat="1" applyFill="1" applyBorder="1"/>
    <xf numFmtId="4" fontId="28" fillId="0" borderId="2" xfId="5" applyNumberFormat="1" applyBorder="1"/>
    <xf numFmtId="4" fontId="28" fillId="9" borderId="2" xfId="5" applyNumberFormat="1" applyFill="1" applyBorder="1"/>
    <xf numFmtId="0" fontId="31" fillId="0" borderId="2" xfId="0" applyFont="1" applyBorder="1" applyAlignment="1">
      <alignment horizontal="center" vertical="center"/>
    </xf>
    <xf numFmtId="0" fontId="31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1" fillId="11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1" fillId="10" borderId="2" xfId="0" applyFont="1" applyFill="1" applyBorder="1" applyAlignment="1">
      <alignment horizontal="center" vertical="center"/>
    </xf>
    <xf numFmtId="0" fontId="31" fillId="11" borderId="2" xfId="0" applyFont="1" applyFill="1" applyBorder="1" applyAlignment="1">
      <alignment horizontal="center" vertical="center"/>
    </xf>
    <xf numFmtId="0" fontId="32" fillId="0" borderId="2" xfId="0" applyFont="1" applyBorder="1" applyAlignment="1">
      <alignment vertical="center"/>
    </xf>
    <xf numFmtId="4" fontId="33" fillId="10" borderId="2" xfId="0" applyNumberFormat="1" applyFont="1" applyFill="1" applyBorder="1"/>
    <xf numFmtId="4" fontId="13" fillId="10" borderId="2" xfId="0" applyNumberFormat="1" applyFont="1" applyFill="1" applyBorder="1"/>
    <xf numFmtId="4" fontId="33" fillId="11" borderId="2" xfId="0" applyNumberFormat="1" applyFont="1" applyFill="1" applyBorder="1"/>
    <xf numFmtId="4" fontId="13" fillId="11" borderId="2" xfId="0" applyNumberFormat="1" applyFont="1" applyFill="1" applyBorder="1"/>
    <xf numFmtId="0" fontId="3" fillId="0" borderId="2" xfId="0" applyFont="1" applyBorder="1" applyAlignment="1">
      <alignment horizontal="center"/>
    </xf>
    <xf numFmtId="4" fontId="3" fillId="10" borderId="2" xfId="0" applyNumberFormat="1" applyFont="1" applyFill="1" applyBorder="1"/>
    <xf numFmtId="4" fontId="3" fillId="11" borderId="2" xfId="0" applyNumberFormat="1" applyFont="1" applyFill="1" applyBorder="1"/>
    <xf numFmtId="4" fontId="3" fillId="12" borderId="0" xfId="0" applyNumberFormat="1" applyFont="1" applyFill="1"/>
    <xf numFmtId="0" fontId="34" fillId="0" borderId="9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14" xfId="0" applyFont="1" applyBorder="1" applyAlignment="1">
      <alignment vertical="center" wrapText="1"/>
    </xf>
    <xf numFmtId="0" fontId="36" fillId="0" borderId="14" xfId="0" applyFont="1" applyBorder="1" applyAlignment="1">
      <alignment horizontal="center" vertical="center" wrapText="1"/>
    </xf>
    <xf numFmtId="0" fontId="36" fillId="0" borderId="15" xfId="0" applyFont="1" applyBorder="1" applyAlignment="1">
      <alignment horizontal="center" vertical="center" wrapText="1"/>
    </xf>
    <xf numFmtId="4" fontId="36" fillId="0" borderId="14" xfId="0" applyNumberFormat="1" applyFont="1" applyBorder="1" applyAlignment="1">
      <alignment horizontal="center" vertical="center" wrapText="1"/>
    </xf>
    <xf numFmtId="0" fontId="36" fillId="0" borderId="16" xfId="0" applyFont="1" applyBorder="1" applyAlignment="1">
      <alignment vertical="center" wrapText="1"/>
    </xf>
    <xf numFmtId="0" fontId="36" fillId="0" borderId="16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4" fontId="34" fillId="0" borderId="19" xfId="0" applyNumberFormat="1" applyFont="1" applyBorder="1" applyAlignment="1">
      <alignment horizontal="center" vertical="center" wrapText="1"/>
    </xf>
    <xf numFmtId="0" fontId="37" fillId="13" borderId="23" xfId="0" applyFont="1" applyFill="1" applyBorder="1" applyAlignment="1">
      <alignment horizontal="center" vertical="center" wrapText="1"/>
    </xf>
    <xf numFmtId="0" fontId="37" fillId="13" borderId="24" xfId="0" applyFont="1" applyFill="1" applyBorder="1" applyAlignment="1">
      <alignment horizontal="center" vertical="center" wrapText="1"/>
    </xf>
    <xf numFmtId="0" fontId="0" fillId="13" borderId="25" xfId="0" applyFill="1" applyBorder="1" applyAlignment="1">
      <alignment vertical="center" wrapText="1"/>
    </xf>
    <xf numFmtId="0" fontId="37" fillId="13" borderId="25" xfId="0" applyFont="1" applyFill="1" applyBorder="1" applyAlignment="1">
      <alignment horizontal="center" vertical="center" wrapText="1"/>
    </xf>
    <xf numFmtId="0" fontId="33" fillId="0" borderId="22" xfId="0" applyFont="1" applyBorder="1" applyAlignment="1">
      <alignment vertical="center"/>
    </xf>
    <xf numFmtId="0" fontId="33" fillId="0" borderId="25" xfId="0" applyFont="1" applyBorder="1" applyAlignment="1">
      <alignment vertical="center"/>
    </xf>
    <xf numFmtId="4" fontId="33" fillId="0" borderId="25" xfId="0" applyNumberFormat="1" applyFont="1" applyBorder="1" applyAlignment="1">
      <alignment horizontal="right" vertical="center"/>
    </xf>
    <xf numFmtId="10" fontId="33" fillId="0" borderId="25" xfId="0" applyNumberFormat="1" applyFont="1" applyBorder="1" applyAlignment="1">
      <alignment horizontal="right" vertical="center"/>
    </xf>
    <xf numFmtId="0" fontId="33" fillId="0" borderId="25" xfId="0" applyFont="1" applyBorder="1" applyAlignment="1">
      <alignment horizontal="right" vertical="center"/>
    </xf>
    <xf numFmtId="0" fontId="33" fillId="0" borderId="22" xfId="0" applyFont="1" applyBorder="1" applyAlignment="1">
      <alignment horizontal="justify" vertical="center"/>
    </xf>
    <xf numFmtId="0" fontId="37" fillId="13" borderId="25" xfId="0" applyFont="1" applyFill="1" applyBorder="1" applyAlignment="1">
      <alignment horizontal="right" vertical="center"/>
    </xf>
    <xf numFmtId="4" fontId="37" fillId="13" borderId="25" xfId="0" applyNumberFormat="1" applyFont="1" applyFill="1" applyBorder="1" applyAlignment="1">
      <alignment horizontal="right" vertical="center"/>
    </xf>
    <xf numFmtId="10" fontId="13" fillId="4" borderId="25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horizontal="center"/>
    </xf>
    <xf numFmtId="2" fontId="38" fillId="0" borderId="2" xfId="0" applyNumberFormat="1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2" fontId="38" fillId="0" borderId="2" xfId="0" applyNumberFormat="1" applyFont="1" applyBorder="1" applyAlignment="1">
      <alignment horizontal="center" vertical="center" wrapText="1"/>
    </xf>
    <xf numFmtId="2" fontId="39" fillId="0" borderId="2" xfId="0" applyNumberFormat="1" applyFont="1" applyBorder="1" applyAlignment="1">
      <alignment horizontal="center"/>
    </xf>
    <xf numFmtId="2" fontId="39" fillId="0" borderId="2" xfId="0" applyNumberFormat="1" applyFont="1" applyBorder="1"/>
    <xf numFmtId="4" fontId="38" fillId="0" borderId="2" xfId="0" applyNumberFormat="1" applyFont="1" applyBorder="1" applyAlignment="1">
      <alignment horizontal="center"/>
    </xf>
    <xf numFmtId="0" fontId="39" fillId="0" borderId="2" xfId="0" applyFont="1" applyBorder="1" applyAlignment="1">
      <alignment horizontal="center"/>
    </xf>
    <xf numFmtId="4" fontId="39" fillId="0" borderId="2" xfId="0" applyNumberFormat="1" applyFont="1" applyBorder="1" applyAlignment="1">
      <alignment horizontal="center"/>
    </xf>
    <xf numFmtId="1" fontId="39" fillId="0" borderId="2" xfId="0" applyNumberFormat="1" applyFont="1" applyBorder="1" applyAlignment="1">
      <alignment horizontal="center"/>
    </xf>
    <xf numFmtId="2" fontId="38" fillId="0" borderId="2" xfId="0" applyNumberFormat="1" applyFont="1" applyBorder="1" applyAlignment="1">
      <alignment horizontal="center"/>
    </xf>
    <xf numFmtId="2" fontId="40" fillId="0" borderId="2" xfId="0" applyNumberFormat="1" applyFont="1" applyBorder="1" applyAlignment="1">
      <alignment horizontal="center"/>
    </xf>
    <xf numFmtId="2" fontId="40" fillId="0" borderId="2" xfId="0" applyNumberFormat="1" applyFont="1" applyBorder="1"/>
    <xf numFmtId="4" fontId="40" fillId="0" borderId="2" xfId="0" applyNumberFormat="1" applyFont="1" applyBorder="1"/>
    <xf numFmtId="10" fontId="40" fillId="0" borderId="2" xfId="2" applyNumberFormat="1" applyFont="1" applyBorder="1"/>
    <xf numFmtId="4" fontId="40" fillId="0" borderId="2" xfId="2" applyNumberFormat="1" applyFont="1" applyBorder="1"/>
    <xf numFmtId="2" fontId="38" fillId="0" borderId="2" xfId="0" applyNumberFormat="1" applyFont="1" applyBorder="1"/>
    <xf numFmtId="4" fontId="38" fillId="0" borderId="2" xfId="0" applyNumberFormat="1" applyFont="1" applyBorder="1"/>
    <xf numFmtId="10" fontId="38" fillId="0" borderId="2" xfId="2" applyNumberFormat="1" applyFont="1" applyBorder="1"/>
    <xf numFmtId="4" fontId="38" fillId="0" borderId="2" xfId="2" applyNumberFormat="1" applyFont="1" applyBorder="1"/>
    <xf numFmtId="1" fontId="0" fillId="0" borderId="2" xfId="0" applyNumberFormat="1" applyBorder="1" applyAlignment="1">
      <alignment horizontal="center"/>
    </xf>
    <xf numFmtId="2" fontId="0" fillId="0" borderId="2" xfId="0" applyNumberFormat="1" applyBorder="1"/>
    <xf numFmtId="1" fontId="38" fillId="0" borderId="2" xfId="0" applyNumberFormat="1" applyFont="1" applyBorder="1" applyAlignment="1">
      <alignment horizontal="center"/>
    </xf>
    <xf numFmtId="0" fontId="39" fillId="0" borderId="2" xfId="0" applyFont="1" applyBorder="1"/>
    <xf numFmtId="4" fontId="39" fillId="0" borderId="2" xfId="0" applyNumberFormat="1" applyFont="1" applyBorder="1"/>
    <xf numFmtId="2" fontId="38" fillId="0" borderId="2" xfId="0" applyNumberFormat="1" applyFont="1" applyBorder="1" applyAlignment="1">
      <alignment vertical="center" wrapText="1"/>
    </xf>
    <xf numFmtId="4" fontId="38" fillId="0" borderId="2" xfId="0" applyNumberFormat="1" applyFont="1" applyBorder="1" applyAlignment="1">
      <alignment vertical="center"/>
    </xf>
    <xf numFmtId="10" fontId="38" fillId="0" borderId="2" xfId="2" applyNumberFormat="1" applyFont="1" applyBorder="1" applyAlignment="1">
      <alignment vertical="center"/>
    </xf>
    <xf numFmtId="4" fontId="38" fillId="0" borderId="2" xfId="2" applyNumberFormat="1" applyFont="1" applyBorder="1" applyAlignment="1">
      <alignment vertical="center"/>
    </xf>
    <xf numFmtId="2" fontId="39" fillId="0" borderId="2" xfId="0" applyNumberFormat="1" applyFont="1" applyBorder="1" applyAlignment="1">
      <alignment vertical="center" wrapText="1"/>
    </xf>
    <xf numFmtId="0" fontId="39" fillId="0" borderId="2" xfId="0" applyFont="1" applyBorder="1" applyAlignment="1">
      <alignment vertical="center"/>
    </xf>
    <xf numFmtId="4" fontId="39" fillId="0" borderId="2" xfId="0" applyNumberFormat="1" applyFont="1" applyBorder="1" applyAlignment="1">
      <alignment vertical="center"/>
    </xf>
    <xf numFmtId="2" fontId="38" fillId="0" borderId="2" xfId="0" applyNumberFormat="1" applyFont="1" applyBorder="1" applyAlignment="1">
      <alignment horizontal="left" vertical="center" wrapText="1"/>
    </xf>
    <xf numFmtId="0" fontId="0" fillId="0" borderId="2" xfId="0" applyBorder="1" applyAlignment="1">
      <alignment vertical="center"/>
    </xf>
    <xf numFmtId="10" fontId="0" fillId="0" borderId="2" xfId="2" applyNumberFormat="1" applyFont="1" applyBorder="1" applyAlignment="1">
      <alignment vertical="center"/>
    </xf>
    <xf numFmtId="0" fontId="39" fillId="0" borderId="2" xfId="0" applyFont="1" applyBorder="1" applyAlignment="1">
      <alignment vertical="center" wrapText="1"/>
    </xf>
    <xf numFmtId="2" fontId="39" fillId="0" borderId="0" xfId="0" applyNumberFormat="1" applyFont="1"/>
    <xf numFmtId="0" fontId="39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4" fontId="13" fillId="0" borderId="0" xfId="0" applyNumberFormat="1" applyFont="1"/>
    <xf numFmtId="4" fontId="28" fillId="0" borderId="2" xfId="5" applyNumberFormat="1" applyBorder="1" applyAlignment="1">
      <alignment horizontal="right"/>
    </xf>
    <xf numFmtId="0" fontId="18" fillId="0" borderId="0" xfId="0" applyFont="1"/>
    <xf numFmtId="165" fontId="14" fillId="7" borderId="2" xfId="0" applyNumberFormat="1" applyFont="1" applyFill="1" applyBorder="1"/>
    <xf numFmtId="2" fontId="38" fillId="0" borderId="2" xfId="0" applyNumberFormat="1" applyFont="1" applyBorder="1" applyAlignment="1">
      <alignment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11" borderId="6" xfId="0" applyFont="1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7" fillId="13" borderId="20" xfId="0" applyFont="1" applyFill="1" applyBorder="1" applyAlignment="1">
      <alignment horizontal="center" vertical="center" wrapText="1"/>
    </xf>
    <xf numFmtId="0" fontId="37" fillId="13" borderId="21" xfId="0" applyFont="1" applyFill="1" applyBorder="1" applyAlignment="1">
      <alignment horizontal="center" vertical="center" wrapText="1"/>
    </xf>
    <xf numFmtId="0" fontId="37" fillId="13" borderId="22" xfId="0" applyFont="1" applyFill="1" applyBorder="1" applyAlignment="1">
      <alignment horizontal="center" vertical="center" wrapText="1"/>
    </xf>
  </cellXfs>
  <cellStyles count="10">
    <cellStyle name="Dziesiętny" xfId="1" builtinId="3"/>
    <cellStyle name="Dziesiętny 2" xfId="4" xr:uid="{00000000-0005-0000-0000-000001000000}"/>
    <cellStyle name="Heading" xfId="6" xr:uid="{61BCD24A-FA69-48B9-84F3-833A65D5BFE1}"/>
    <cellStyle name="Heading1" xfId="7" xr:uid="{387702D2-4657-4BC5-B4D4-BD523DC28543}"/>
    <cellStyle name="Normalny" xfId="0" builtinId="0"/>
    <cellStyle name="Normalny 2" xfId="5" xr:uid="{ED86CD69-BF2D-4F1C-B060-182AC59ED6DB}"/>
    <cellStyle name="Normalny_Arkusz1" xfId="3" xr:uid="{00000000-0005-0000-0000-000003000000}"/>
    <cellStyle name="Procentowy" xfId="2" builtinId="5"/>
    <cellStyle name="Result" xfId="8" xr:uid="{BC076C8E-4A00-4AE2-ACDB-13C2EEA87783}"/>
    <cellStyle name="Result2" xfId="9" xr:uid="{D8051E55-C6F9-432F-9A5C-2EDEEC5802EF}"/>
  </cellStyles>
  <dxfs count="0"/>
  <tableStyles count="0" defaultTableStyle="TableStyleMedium2" defaultPivotStyle="PivotStyleMedium9"/>
  <colors>
    <mruColors>
      <color rgb="FFFFCCFF"/>
      <color rgb="FF00FF00"/>
      <color rgb="FFC1FFE0"/>
      <color rgb="FFFFEFFF"/>
      <color rgb="FFFF6600"/>
      <color rgb="FF99CCFF"/>
      <color rgb="FFFFCC66"/>
      <color rgb="FFFF7C80"/>
      <color rgb="FFFFFF99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5D078-2813-438A-ACA1-A4B46BF1F784}">
  <sheetPr>
    <pageSetUpPr fitToPage="1"/>
  </sheetPr>
  <dimension ref="A3:H18"/>
  <sheetViews>
    <sheetView zoomScale="130" zoomScaleNormal="130" workbookViewId="0">
      <selection activeCell="F17" sqref="F17"/>
    </sheetView>
  </sheetViews>
  <sheetFormatPr defaultRowHeight="14.4" x14ac:dyDescent="0.3"/>
  <cols>
    <col min="2" max="2" width="19.109375" customWidth="1"/>
    <col min="3" max="8" width="12.77734375" customWidth="1"/>
  </cols>
  <sheetData>
    <row r="3" spans="1:8" x14ac:dyDescent="0.3">
      <c r="C3" s="171" t="s">
        <v>71</v>
      </c>
      <c r="D3" s="172"/>
      <c r="E3" s="173"/>
      <c r="F3" s="177" t="s">
        <v>72</v>
      </c>
      <c r="G3" s="178"/>
      <c r="H3" s="179"/>
    </row>
    <row r="4" spans="1:8" x14ac:dyDescent="0.3">
      <c r="C4" s="174"/>
      <c r="D4" s="175"/>
      <c r="E4" s="176"/>
      <c r="F4" s="180"/>
      <c r="G4" s="181"/>
      <c r="H4" s="182"/>
    </row>
    <row r="5" spans="1:8" ht="62.4" x14ac:dyDescent="0.3">
      <c r="A5" s="82" t="s">
        <v>0</v>
      </c>
      <c r="B5" s="82" t="s">
        <v>50</v>
      </c>
      <c r="C5" s="83" t="s">
        <v>73</v>
      </c>
      <c r="D5" s="83" t="s">
        <v>74</v>
      </c>
      <c r="E5" s="84" t="s">
        <v>49</v>
      </c>
      <c r="F5" s="85" t="s">
        <v>73</v>
      </c>
      <c r="G5" s="85" t="s">
        <v>74</v>
      </c>
      <c r="H5" s="86" t="s">
        <v>49</v>
      </c>
    </row>
    <row r="6" spans="1:8" ht="15.6" x14ac:dyDescent="0.3">
      <c r="A6" s="82">
        <v>1</v>
      </c>
      <c r="B6" s="82">
        <v>2</v>
      </c>
      <c r="C6" s="87">
        <v>3</v>
      </c>
      <c r="D6" s="87">
        <v>4</v>
      </c>
      <c r="E6" s="87">
        <v>5</v>
      </c>
      <c r="F6" s="88">
        <v>6</v>
      </c>
      <c r="G6" s="88">
        <v>7</v>
      </c>
      <c r="H6" s="88">
        <v>8</v>
      </c>
    </row>
    <row r="7" spans="1:8" x14ac:dyDescent="0.3">
      <c r="A7" s="126">
        <v>1</v>
      </c>
      <c r="B7" s="89" t="s">
        <v>75</v>
      </c>
      <c r="C7" s="90">
        <f>12*17100</f>
        <v>205200</v>
      </c>
      <c r="D7" s="90">
        <f>C7*0.2</f>
        <v>41040</v>
      </c>
      <c r="E7" s="91">
        <f>C7+D7</f>
        <v>246240</v>
      </c>
      <c r="F7" s="92">
        <f>12*18000</f>
        <v>216000</v>
      </c>
      <c r="G7" s="92">
        <f>F7*0.2</f>
        <v>43200</v>
      </c>
      <c r="H7" s="93">
        <f>F7+G7</f>
        <v>259200</v>
      </c>
    </row>
    <row r="8" spans="1:8" x14ac:dyDescent="0.3">
      <c r="A8" s="126">
        <v>2</v>
      </c>
      <c r="B8" s="89" t="s">
        <v>76</v>
      </c>
      <c r="C8" s="90">
        <f>12*14220</f>
        <v>170640</v>
      </c>
      <c r="D8" s="90">
        <f>C8*0.2</f>
        <v>34128</v>
      </c>
      <c r="E8" s="91">
        <f>C8+D8</f>
        <v>204768</v>
      </c>
      <c r="F8" s="92">
        <f>12*15720</f>
        <v>188640</v>
      </c>
      <c r="G8" s="92">
        <f>F8*0.2</f>
        <v>37728</v>
      </c>
      <c r="H8" s="93">
        <f>F8+G8</f>
        <v>226368</v>
      </c>
    </row>
    <row r="9" spans="1:8" x14ac:dyDescent="0.3">
      <c r="A9" s="126">
        <v>3</v>
      </c>
      <c r="B9" s="89" t="s">
        <v>77</v>
      </c>
      <c r="C9" s="90">
        <f>12*32680</f>
        <v>392160</v>
      </c>
      <c r="D9" s="90">
        <f>C9*0.2</f>
        <v>78432</v>
      </c>
      <c r="E9" s="91">
        <f>C9+D9</f>
        <v>470592</v>
      </c>
      <c r="F9" s="92">
        <f>12*36180</f>
        <v>434160</v>
      </c>
      <c r="G9" s="92">
        <f>F9*0.2</f>
        <v>86832</v>
      </c>
      <c r="H9" s="93">
        <f>F9+G9</f>
        <v>520992</v>
      </c>
    </row>
    <row r="10" spans="1:8" x14ac:dyDescent="0.3">
      <c r="A10" s="126"/>
      <c r="B10" s="94" t="s">
        <v>49</v>
      </c>
      <c r="C10" s="95">
        <f>SUM(C7:C9)</f>
        <v>768000</v>
      </c>
      <c r="D10" s="95">
        <f>SUM(D7:D9)</f>
        <v>153600</v>
      </c>
      <c r="E10" s="91">
        <f>C10+D10</f>
        <v>921600</v>
      </c>
      <c r="F10" s="96">
        <f>SUM(F7:F9)</f>
        <v>838800</v>
      </c>
      <c r="G10" s="96">
        <f>SUM(G7:G9)</f>
        <v>167760</v>
      </c>
      <c r="H10" s="93">
        <f>F10+G10</f>
        <v>1006560</v>
      </c>
    </row>
    <row r="11" spans="1:8" x14ac:dyDescent="0.3">
      <c r="A11" s="164"/>
      <c r="B11" s="165"/>
      <c r="C11" s="5"/>
      <c r="D11" s="5"/>
      <c r="E11" s="166"/>
      <c r="F11" s="5"/>
      <c r="G11" s="5"/>
      <c r="H11" s="166"/>
    </row>
    <row r="12" spans="1:8" x14ac:dyDescent="0.3">
      <c r="A12" s="164"/>
      <c r="B12" s="165"/>
      <c r="C12" s="5"/>
      <c r="D12" s="5"/>
      <c r="E12" s="166"/>
      <c r="F12" s="5"/>
      <c r="G12" s="5"/>
      <c r="H12" s="166"/>
    </row>
    <row r="13" spans="1:8" ht="15.6" x14ac:dyDescent="0.3">
      <c r="B13" s="168" t="s">
        <v>78</v>
      </c>
      <c r="C13" s="2">
        <f>E7</f>
        <v>246240</v>
      </c>
      <c r="E13" s="2">
        <f>H7</f>
        <v>259200</v>
      </c>
      <c r="H13" s="2">
        <f>H7</f>
        <v>259200</v>
      </c>
    </row>
    <row r="14" spans="1:8" ht="15.6" x14ac:dyDescent="0.3">
      <c r="B14" s="168" t="s">
        <v>79</v>
      </c>
      <c r="C14" s="2">
        <f>E8+E9</f>
        <v>675360</v>
      </c>
      <c r="E14" s="2">
        <f>H8+H9</f>
        <v>747360</v>
      </c>
      <c r="H14" s="2">
        <f>H8+H9</f>
        <v>747360</v>
      </c>
    </row>
    <row r="15" spans="1:8" x14ac:dyDescent="0.3">
      <c r="C15" s="2">
        <f>C13+C14</f>
        <v>921600</v>
      </c>
      <c r="E15" s="2">
        <f>E13+E14</f>
        <v>1006560</v>
      </c>
      <c r="H15" s="97">
        <f>H13+H14</f>
        <v>1006560</v>
      </c>
    </row>
    <row r="16" spans="1:8" x14ac:dyDescent="0.3">
      <c r="H16" s="2"/>
    </row>
    <row r="18" spans="8:8" x14ac:dyDescent="0.3">
      <c r="H18" s="2"/>
    </row>
  </sheetData>
  <mergeCells count="2">
    <mergeCell ref="C3:E4"/>
    <mergeCell ref="F3:H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02155-1BEC-4A07-BE2E-E25C8A9FC34E}">
  <dimension ref="A1:H17"/>
  <sheetViews>
    <sheetView topLeftCell="A2" workbookViewId="0">
      <selection activeCell="H22" sqref="H22"/>
    </sheetView>
  </sheetViews>
  <sheetFormatPr defaultRowHeight="14.4" x14ac:dyDescent="0.3"/>
  <cols>
    <col min="1" max="1" width="3.88671875" bestFit="1" customWidth="1"/>
    <col min="2" max="2" width="23" bestFit="1" customWidth="1"/>
    <col min="3" max="3" width="14.21875" customWidth="1"/>
    <col min="4" max="4" width="14.88671875" customWidth="1"/>
    <col min="5" max="5" width="13.21875" customWidth="1"/>
    <col min="6" max="6" width="14.33203125" customWidth="1"/>
    <col min="7" max="7" width="15.6640625" customWidth="1"/>
    <col min="8" max="8" width="18.6640625" customWidth="1"/>
  </cols>
  <sheetData>
    <row r="1" spans="1:8" ht="27.6" x14ac:dyDescent="0.3">
      <c r="A1" s="183" t="s">
        <v>0</v>
      </c>
      <c r="B1" s="183" t="s">
        <v>50</v>
      </c>
      <c r="C1" s="183" t="s">
        <v>116</v>
      </c>
      <c r="D1" s="113" t="s">
        <v>117</v>
      </c>
      <c r="E1" s="113" t="s">
        <v>120</v>
      </c>
      <c r="F1" s="183" t="s">
        <v>124</v>
      </c>
      <c r="G1" s="113" t="s">
        <v>125</v>
      </c>
      <c r="H1" s="113" t="s">
        <v>129</v>
      </c>
    </row>
    <row r="2" spans="1:8" ht="27.6" x14ac:dyDescent="0.3">
      <c r="A2" s="184"/>
      <c r="B2" s="184"/>
      <c r="C2" s="184"/>
      <c r="D2" s="114" t="s">
        <v>118</v>
      </c>
      <c r="E2" s="114" t="s">
        <v>121</v>
      </c>
      <c r="F2" s="184"/>
      <c r="G2" s="114" t="s">
        <v>126</v>
      </c>
      <c r="H2" s="114" t="s">
        <v>130</v>
      </c>
    </row>
    <row r="3" spans="1:8" x14ac:dyDescent="0.3">
      <c r="A3" s="184"/>
      <c r="B3" s="184"/>
      <c r="C3" s="184"/>
      <c r="D3" s="114" t="s">
        <v>119</v>
      </c>
      <c r="E3" s="114" t="s">
        <v>122</v>
      </c>
      <c r="F3" s="184"/>
      <c r="G3" s="114" t="s">
        <v>127</v>
      </c>
      <c r="H3" s="114" t="s">
        <v>131</v>
      </c>
    </row>
    <row r="4" spans="1:8" ht="28.2" customHeight="1" thickBot="1" x14ac:dyDescent="0.35">
      <c r="A4" s="185"/>
      <c r="B4" s="185"/>
      <c r="C4" s="185"/>
      <c r="D4" s="115"/>
      <c r="E4" s="116" t="s">
        <v>123</v>
      </c>
      <c r="F4" s="185"/>
      <c r="G4" s="116" t="s">
        <v>128</v>
      </c>
      <c r="H4" s="115"/>
    </row>
    <row r="5" spans="1:8" ht="15" thickBot="1" x14ac:dyDescent="0.35">
      <c r="A5" s="117">
        <v>1</v>
      </c>
      <c r="B5" s="118" t="s">
        <v>132</v>
      </c>
      <c r="C5" s="119">
        <v>48296.66</v>
      </c>
      <c r="D5" s="119">
        <v>20938.18</v>
      </c>
      <c r="E5" s="120">
        <f>D5/C5</f>
        <v>0.43353267078924296</v>
      </c>
      <c r="F5" s="119">
        <v>35000</v>
      </c>
      <c r="G5" s="120">
        <f>F5/D5</f>
        <v>1.6715875018745661</v>
      </c>
      <c r="H5" s="119">
        <v>14061.82</v>
      </c>
    </row>
    <row r="6" spans="1:8" ht="15" thickBot="1" x14ac:dyDescent="0.35">
      <c r="A6" s="117">
        <v>2</v>
      </c>
      <c r="B6" s="118" t="s">
        <v>133</v>
      </c>
      <c r="C6" s="119">
        <v>51648.9</v>
      </c>
      <c r="D6" s="119">
        <v>64858.35</v>
      </c>
      <c r="E6" s="120">
        <f t="shared" ref="E6:E17" si="0">D6/C6</f>
        <v>1.2557547208169002</v>
      </c>
      <c r="F6" s="119">
        <v>64858.35</v>
      </c>
      <c r="G6" s="120">
        <f t="shared" ref="G6:G17" si="1">F6/D6</f>
        <v>1</v>
      </c>
      <c r="H6" s="121">
        <v>0</v>
      </c>
    </row>
    <row r="7" spans="1:8" ht="15" thickBot="1" x14ac:dyDescent="0.35">
      <c r="A7" s="117">
        <v>3</v>
      </c>
      <c r="B7" s="118" t="s">
        <v>134</v>
      </c>
      <c r="C7" s="119">
        <v>176108.21</v>
      </c>
      <c r="D7" s="119">
        <v>186097.43</v>
      </c>
      <c r="E7" s="120">
        <f t="shared" si="0"/>
        <v>1.0567220574214002</v>
      </c>
      <c r="F7" s="119">
        <v>186097.43</v>
      </c>
      <c r="G7" s="120">
        <f t="shared" si="1"/>
        <v>1</v>
      </c>
      <c r="H7" s="121">
        <v>0</v>
      </c>
    </row>
    <row r="8" spans="1:8" ht="15" thickBot="1" x14ac:dyDescent="0.35">
      <c r="A8" s="117">
        <v>4</v>
      </c>
      <c r="B8" s="118" t="s">
        <v>135</v>
      </c>
      <c r="C8" s="119">
        <v>1000</v>
      </c>
      <c r="D8" s="121">
        <v>0</v>
      </c>
      <c r="E8" s="120">
        <f t="shared" si="0"/>
        <v>0</v>
      </c>
      <c r="F8" s="119">
        <v>1000</v>
      </c>
      <c r="G8" s="120" t="e">
        <f t="shared" si="1"/>
        <v>#DIV/0!</v>
      </c>
      <c r="H8" s="119">
        <v>1000</v>
      </c>
    </row>
    <row r="9" spans="1:8" ht="15" thickBot="1" x14ac:dyDescent="0.35">
      <c r="A9" s="117">
        <v>5</v>
      </c>
      <c r="B9" s="118" t="s">
        <v>136</v>
      </c>
      <c r="C9" s="119">
        <v>246240</v>
      </c>
      <c r="D9" s="119">
        <v>227555.84</v>
      </c>
      <c r="E9" s="120">
        <f t="shared" si="0"/>
        <v>0.92412215724496427</v>
      </c>
      <c r="F9" s="119">
        <v>259200</v>
      </c>
      <c r="G9" s="120">
        <f t="shared" si="1"/>
        <v>1.1390610761736548</v>
      </c>
      <c r="H9" s="119">
        <v>31644.16</v>
      </c>
    </row>
    <row r="10" spans="1:8" ht="15" thickBot="1" x14ac:dyDescent="0.35">
      <c r="A10" s="117">
        <v>6</v>
      </c>
      <c r="B10" s="118" t="s">
        <v>137</v>
      </c>
      <c r="C10" s="119">
        <v>185148</v>
      </c>
      <c r="D10" s="119">
        <v>173319</v>
      </c>
      <c r="E10" s="120">
        <f t="shared" si="0"/>
        <v>0.93611057100265738</v>
      </c>
      <c r="F10" s="119">
        <v>221988</v>
      </c>
      <c r="G10" s="120">
        <f t="shared" si="1"/>
        <v>1.2808059127966351</v>
      </c>
      <c r="H10" s="119">
        <v>48669</v>
      </c>
    </row>
    <row r="11" spans="1:8" ht="15" thickBot="1" x14ac:dyDescent="0.35">
      <c r="A11" s="117">
        <v>7</v>
      </c>
      <c r="B11" s="118" t="s">
        <v>138</v>
      </c>
      <c r="C11" s="119">
        <v>78120.429999999993</v>
      </c>
      <c r="D11" s="119">
        <v>66333.960000000006</v>
      </c>
      <c r="E11" s="120">
        <f t="shared" si="0"/>
        <v>0.84912435837846789</v>
      </c>
      <c r="F11" s="119">
        <v>82172.259999999995</v>
      </c>
      <c r="G11" s="120">
        <f t="shared" si="1"/>
        <v>1.2387660860289358</v>
      </c>
      <c r="H11" s="119">
        <v>15838.3</v>
      </c>
    </row>
    <row r="12" spans="1:8" ht="15" thickBot="1" x14ac:dyDescent="0.35">
      <c r="A12" s="117">
        <v>8</v>
      </c>
      <c r="B12" s="118" t="s">
        <v>139</v>
      </c>
      <c r="C12" s="119">
        <v>3325.94</v>
      </c>
      <c r="D12" s="119">
        <v>3325.94</v>
      </c>
      <c r="E12" s="120">
        <f t="shared" si="0"/>
        <v>1</v>
      </c>
      <c r="F12" s="119">
        <v>3828.68</v>
      </c>
      <c r="G12" s="120">
        <f t="shared" si="1"/>
        <v>1.1511572668178018</v>
      </c>
      <c r="H12" s="121">
        <v>502.74</v>
      </c>
    </row>
    <row r="13" spans="1:8" ht="15" thickBot="1" x14ac:dyDescent="0.35">
      <c r="A13" s="117">
        <v>9</v>
      </c>
      <c r="B13" s="118" t="s">
        <v>140</v>
      </c>
      <c r="C13" s="121">
        <v>320</v>
      </c>
      <c r="D13" s="121">
        <v>318.75</v>
      </c>
      <c r="E13" s="120">
        <f t="shared" si="0"/>
        <v>0.99609375</v>
      </c>
      <c r="F13" s="121">
        <v>352</v>
      </c>
      <c r="G13" s="120">
        <f t="shared" si="1"/>
        <v>1.104313725490196</v>
      </c>
      <c r="H13" s="121">
        <v>33.25</v>
      </c>
    </row>
    <row r="14" spans="1:8" ht="15" thickBot="1" x14ac:dyDescent="0.35">
      <c r="A14" s="117">
        <v>10</v>
      </c>
      <c r="B14" s="118" t="s">
        <v>141</v>
      </c>
      <c r="C14" s="119">
        <v>4500</v>
      </c>
      <c r="D14" s="119">
        <v>8148.58</v>
      </c>
      <c r="E14" s="120">
        <f t="shared" si="0"/>
        <v>1.8107955555555555</v>
      </c>
      <c r="F14" s="119">
        <v>8148.58</v>
      </c>
      <c r="G14" s="120">
        <f t="shared" si="1"/>
        <v>1</v>
      </c>
      <c r="H14" s="121">
        <v>0</v>
      </c>
    </row>
    <row r="15" spans="1:8" ht="15" thickBot="1" x14ac:dyDescent="0.35">
      <c r="A15" s="117">
        <v>11</v>
      </c>
      <c r="B15" s="118" t="s">
        <v>142</v>
      </c>
      <c r="C15" s="119">
        <v>7400</v>
      </c>
      <c r="D15" s="119">
        <v>9517.7199999999993</v>
      </c>
      <c r="E15" s="120">
        <f t="shared" si="0"/>
        <v>1.2861783783783782</v>
      </c>
      <c r="F15" s="119">
        <v>9517.7199999999993</v>
      </c>
      <c r="G15" s="120">
        <f t="shared" si="1"/>
        <v>1</v>
      </c>
      <c r="H15" s="121">
        <v>0</v>
      </c>
    </row>
    <row r="16" spans="1:8" ht="15" thickBot="1" x14ac:dyDescent="0.35">
      <c r="A16" s="117">
        <v>12</v>
      </c>
      <c r="B16" s="118" t="s">
        <v>143</v>
      </c>
      <c r="C16" s="121">
        <v>210</v>
      </c>
      <c r="D16" s="121">
        <v>290</v>
      </c>
      <c r="E16" s="120">
        <f t="shared" si="0"/>
        <v>1.3809523809523809</v>
      </c>
      <c r="F16" s="121">
        <v>290</v>
      </c>
      <c r="G16" s="120">
        <f t="shared" si="1"/>
        <v>1</v>
      </c>
      <c r="H16" s="121">
        <v>0</v>
      </c>
    </row>
    <row r="17" spans="1:8" ht="15" thickBot="1" x14ac:dyDescent="0.35">
      <c r="A17" s="122"/>
      <c r="B17" s="123" t="s">
        <v>49</v>
      </c>
      <c r="C17" s="124">
        <v>802318.14</v>
      </c>
      <c r="D17" s="124">
        <v>760703.75</v>
      </c>
      <c r="E17" s="125">
        <f t="shared" si="0"/>
        <v>0.94813230821379657</v>
      </c>
      <c r="F17" s="124">
        <v>872453.02</v>
      </c>
      <c r="G17" s="125">
        <f t="shared" si="1"/>
        <v>1.1469024833912018</v>
      </c>
      <c r="H17" s="124">
        <v>111749.27</v>
      </c>
    </row>
  </sheetData>
  <mergeCells count="4">
    <mergeCell ref="A1:A4"/>
    <mergeCell ref="B1:B4"/>
    <mergeCell ref="C1:C4"/>
    <mergeCell ref="F1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86FF5-360C-4224-976D-EB29E778404A}">
  <dimension ref="A1:E32"/>
  <sheetViews>
    <sheetView topLeftCell="A16" workbookViewId="0">
      <selection activeCell="C32" sqref="C32"/>
    </sheetView>
  </sheetViews>
  <sheetFormatPr defaultRowHeight="14.4" x14ac:dyDescent="0.3"/>
  <cols>
    <col min="2" max="2" width="25.44140625" customWidth="1"/>
    <col min="3" max="3" width="20.77734375" customWidth="1"/>
    <col min="4" max="4" width="22.77734375" customWidth="1"/>
    <col min="5" max="5" width="18.5546875" customWidth="1"/>
  </cols>
  <sheetData>
    <row r="1" spans="1:5" ht="73.2" thickTop="1" thickBot="1" x14ac:dyDescent="0.35">
      <c r="A1" s="98" t="s">
        <v>80</v>
      </c>
      <c r="B1" s="99" t="s">
        <v>81</v>
      </c>
      <c r="C1" s="100" t="s">
        <v>82</v>
      </c>
      <c r="D1" s="100" t="s">
        <v>83</v>
      </c>
      <c r="E1" s="101" t="s">
        <v>84</v>
      </c>
    </row>
    <row r="2" spans="1:5" ht="15" thickBot="1" x14ac:dyDescent="0.35">
      <c r="A2" s="102">
        <v>1</v>
      </c>
      <c r="B2" s="103" t="s">
        <v>85</v>
      </c>
      <c r="C2" s="104">
        <v>3445.5</v>
      </c>
      <c r="D2" s="104">
        <v>0</v>
      </c>
      <c r="E2" s="105">
        <v>0</v>
      </c>
    </row>
    <row r="3" spans="1:5" ht="15" thickBot="1" x14ac:dyDescent="0.35">
      <c r="A3" s="102">
        <v>2</v>
      </c>
      <c r="B3" s="103" t="s">
        <v>86</v>
      </c>
      <c r="C3" s="104">
        <v>1636.3</v>
      </c>
      <c r="D3" s="104">
        <v>0</v>
      </c>
      <c r="E3" s="105">
        <v>0</v>
      </c>
    </row>
    <row r="4" spans="1:5" ht="15" thickBot="1" x14ac:dyDescent="0.35">
      <c r="A4" s="102">
        <v>3</v>
      </c>
      <c r="B4" s="103" t="s">
        <v>87</v>
      </c>
      <c r="C4" s="104">
        <v>1132.5999999999999</v>
      </c>
      <c r="D4" s="104">
        <v>0</v>
      </c>
      <c r="E4" s="105">
        <v>0</v>
      </c>
    </row>
    <row r="5" spans="1:5" ht="15" thickBot="1" x14ac:dyDescent="0.35">
      <c r="A5" s="102">
        <v>4</v>
      </c>
      <c r="B5" s="103" t="s">
        <v>88</v>
      </c>
      <c r="C5" s="104">
        <v>2928.1</v>
      </c>
      <c r="D5" s="104">
        <v>336.6</v>
      </c>
      <c r="E5" s="105">
        <v>412</v>
      </c>
    </row>
    <row r="6" spans="1:5" ht="15" thickBot="1" x14ac:dyDescent="0.35">
      <c r="A6" s="102">
        <v>5</v>
      </c>
      <c r="B6" s="103" t="s">
        <v>89</v>
      </c>
      <c r="C6" s="104">
        <v>5933.6</v>
      </c>
      <c r="D6" s="104">
        <v>0</v>
      </c>
      <c r="E6" s="105">
        <v>64.2</v>
      </c>
    </row>
    <row r="7" spans="1:5" ht="15" thickBot="1" x14ac:dyDescent="0.35">
      <c r="A7" s="102">
        <v>6</v>
      </c>
      <c r="B7" s="103" t="s">
        <v>90</v>
      </c>
      <c r="C7" s="104">
        <v>2721.99</v>
      </c>
      <c r="D7" s="104">
        <v>0</v>
      </c>
      <c r="E7" s="105">
        <v>0</v>
      </c>
    </row>
    <row r="8" spans="1:5" ht="15" thickBot="1" x14ac:dyDescent="0.35">
      <c r="A8" s="102">
        <v>7</v>
      </c>
      <c r="B8" s="103" t="s">
        <v>91</v>
      </c>
      <c r="C8" s="104">
        <v>3970.72</v>
      </c>
      <c r="D8" s="104">
        <v>353.27</v>
      </c>
      <c r="E8" s="105">
        <v>0</v>
      </c>
    </row>
    <row r="9" spans="1:5" ht="15" thickBot="1" x14ac:dyDescent="0.35">
      <c r="A9" s="102">
        <v>8</v>
      </c>
      <c r="B9" s="103" t="s">
        <v>92</v>
      </c>
      <c r="C9" s="104">
        <v>6192.08</v>
      </c>
      <c r="D9" s="104">
        <v>0</v>
      </c>
      <c r="E9" s="105">
        <v>0</v>
      </c>
    </row>
    <row r="10" spans="1:5" ht="15" thickBot="1" x14ac:dyDescent="0.35">
      <c r="A10" s="102">
        <v>9</v>
      </c>
      <c r="B10" s="103" t="s">
        <v>93</v>
      </c>
      <c r="C10" s="104">
        <v>1411</v>
      </c>
      <c r="D10" s="104">
        <v>188.64</v>
      </c>
      <c r="E10" s="105">
        <v>0</v>
      </c>
    </row>
    <row r="11" spans="1:5" ht="15" thickBot="1" x14ac:dyDescent="0.35">
      <c r="A11" s="102">
        <v>10</v>
      </c>
      <c r="B11" s="103" t="s">
        <v>94</v>
      </c>
      <c r="C11" s="104">
        <v>1525.18</v>
      </c>
      <c r="D11" s="104">
        <v>190.8</v>
      </c>
      <c r="E11" s="105">
        <v>0</v>
      </c>
    </row>
    <row r="12" spans="1:5" ht="15" thickBot="1" x14ac:dyDescent="0.35">
      <c r="A12" s="102">
        <v>11</v>
      </c>
      <c r="B12" s="103" t="s">
        <v>95</v>
      </c>
      <c r="C12" s="104">
        <v>1423.32</v>
      </c>
      <c r="D12" s="104">
        <v>189.72</v>
      </c>
      <c r="E12" s="105">
        <v>0</v>
      </c>
    </row>
    <row r="13" spans="1:5" ht="15" thickBot="1" x14ac:dyDescent="0.35">
      <c r="A13" s="102">
        <v>12</v>
      </c>
      <c r="B13" s="103" t="s">
        <v>96</v>
      </c>
      <c r="C13" s="104">
        <v>4316.4799999999996</v>
      </c>
      <c r="D13" s="104">
        <v>499.93</v>
      </c>
      <c r="E13" s="105">
        <v>155.4</v>
      </c>
    </row>
    <row r="14" spans="1:5" ht="15" thickBot="1" x14ac:dyDescent="0.35">
      <c r="A14" s="102">
        <v>13</v>
      </c>
      <c r="B14" s="103" t="s">
        <v>97</v>
      </c>
      <c r="C14" s="104">
        <v>3184.69</v>
      </c>
      <c r="D14" s="104">
        <v>431.21</v>
      </c>
      <c r="E14" s="105">
        <v>0</v>
      </c>
    </row>
    <row r="15" spans="1:5" ht="15" thickBot="1" x14ac:dyDescent="0.35">
      <c r="A15" s="102">
        <v>14</v>
      </c>
      <c r="B15" s="103" t="s">
        <v>98</v>
      </c>
      <c r="C15" s="104">
        <v>4450.83</v>
      </c>
      <c r="D15" s="104">
        <v>483.4</v>
      </c>
      <c r="E15" s="105">
        <v>0</v>
      </c>
    </row>
    <row r="16" spans="1:5" ht="15" thickBot="1" x14ac:dyDescent="0.35">
      <c r="A16" s="102">
        <v>15</v>
      </c>
      <c r="B16" s="103" t="s">
        <v>99</v>
      </c>
      <c r="C16" s="104">
        <v>4968.38</v>
      </c>
      <c r="D16" s="104">
        <v>777.86</v>
      </c>
      <c r="E16" s="105">
        <v>149.35</v>
      </c>
    </row>
    <row r="17" spans="1:5" ht="15" thickBot="1" x14ac:dyDescent="0.35">
      <c r="A17" s="102">
        <v>16</v>
      </c>
      <c r="B17" s="103" t="s">
        <v>100</v>
      </c>
      <c r="C17" s="104">
        <v>1642.74</v>
      </c>
      <c r="D17" s="104">
        <v>0</v>
      </c>
      <c r="E17" s="105">
        <v>0</v>
      </c>
    </row>
    <row r="18" spans="1:5" ht="15" thickBot="1" x14ac:dyDescent="0.35">
      <c r="A18" s="102">
        <v>17</v>
      </c>
      <c r="B18" s="103" t="s">
        <v>101</v>
      </c>
      <c r="C18" s="104">
        <v>2679.9</v>
      </c>
      <c r="D18" s="104">
        <v>0</v>
      </c>
      <c r="E18" s="105">
        <v>529.20000000000005</v>
      </c>
    </row>
    <row r="19" spans="1:5" ht="15" thickBot="1" x14ac:dyDescent="0.35">
      <c r="A19" s="102">
        <v>18</v>
      </c>
      <c r="B19" s="103" t="s">
        <v>102</v>
      </c>
      <c r="C19" s="104">
        <v>1236.9100000000001</v>
      </c>
      <c r="D19" s="104">
        <v>0</v>
      </c>
      <c r="E19" s="105">
        <v>216.09</v>
      </c>
    </row>
    <row r="20" spans="1:5" ht="15" thickBot="1" x14ac:dyDescent="0.35">
      <c r="A20" s="102">
        <v>19</v>
      </c>
      <c r="B20" s="103" t="s">
        <v>103</v>
      </c>
      <c r="C20" s="104">
        <v>1304.25</v>
      </c>
      <c r="D20" s="104">
        <v>75.400000000000006</v>
      </c>
      <c r="E20" s="105">
        <v>23.5</v>
      </c>
    </row>
    <row r="21" spans="1:5" ht="15" thickBot="1" x14ac:dyDescent="0.35">
      <c r="A21" s="102">
        <v>20</v>
      </c>
      <c r="B21" s="103" t="s">
        <v>104</v>
      </c>
      <c r="C21" s="104">
        <v>4083.6</v>
      </c>
      <c r="D21" s="104">
        <v>625.9</v>
      </c>
      <c r="E21" s="105">
        <v>161</v>
      </c>
    </row>
    <row r="22" spans="1:5" ht="15" thickBot="1" x14ac:dyDescent="0.35">
      <c r="A22" s="102">
        <v>21</v>
      </c>
      <c r="B22" s="103" t="s">
        <v>105</v>
      </c>
      <c r="C22" s="104">
        <v>4177.7</v>
      </c>
      <c r="D22" s="104">
        <v>643.6</v>
      </c>
      <c r="E22" s="105">
        <v>109.1</v>
      </c>
    </row>
    <row r="23" spans="1:5" ht="15" thickBot="1" x14ac:dyDescent="0.35">
      <c r="A23" s="102">
        <v>22</v>
      </c>
      <c r="B23" s="103" t="s">
        <v>106</v>
      </c>
      <c r="C23" s="104">
        <v>2637.6</v>
      </c>
      <c r="D23" s="104">
        <v>388.5</v>
      </c>
      <c r="E23" s="105">
        <v>286.7</v>
      </c>
    </row>
    <row r="24" spans="1:5" ht="15" thickBot="1" x14ac:dyDescent="0.35">
      <c r="A24" s="102">
        <v>23</v>
      </c>
      <c r="B24" s="103" t="s">
        <v>107</v>
      </c>
      <c r="C24" s="104">
        <v>5765.6</v>
      </c>
      <c r="D24" s="104">
        <v>440.9</v>
      </c>
      <c r="E24" s="105">
        <v>75.099999999999994</v>
      </c>
    </row>
    <row r="25" spans="1:5" ht="15" thickBot="1" x14ac:dyDescent="0.35">
      <c r="A25" s="102">
        <v>24</v>
      </c>
      <c r="B25" s="103" t="s">
        <v>108</v>
      </c>
      <c r="C25" s="104">
        <v>0</v>
      </c>
      <c r="D25" s="104">
        <v>0</v>
      </c>
      <c r="E25" s="105">
        <v>13.95</v>
      </c>
    </row>
    <row r="26" spans="1:5" ht="15" thickBot="1" x14ac:dyDescent="0.35">
      <c r="A26" s="102">
        <v>25</v>
      </c>
      <c r="B26" s="103" t="s">
        <v>109</v>
      </c>
      <c r="C26" s="104">
        <v>5503.34</v>
      </c>
      <c r="D26" s="106">
        <v>1009.29</v>
      </c>
      <c r="E26" s="105">
        <v>0</v>
      </c>
    </row>
    <row r="27" spans="1:5" ht="15" thickBot="1" x14ac:dyDescent="0.35">
      <c r="A27" s="102">
        <v>26</v>
      </c>
      <c r="B27" s="103" t="s">
        <v>110</v>
      </c>
      <c r="C27" s="104">
        <v>7380.28</v>
      </c>
      <c r="D27" s="106">
        <v>2363.5700000000002</v>
      </c>
      <c r="E27" s="105">
        <v>0</v>
      </c>
    </row>
    <row r="28" spans="1:5" ht="15" thickBot="1" x14ac:dyDescent="0.35">
      <c r="A28" s="102">
        <v>27</v>
      </c>
      <c r="B28" s="103" t="s">
        <v>111</v>
      </c>
      <c r="C28" s="104">
        <v>4246.6899999999996</v>
      </c>
      <c r="D28" s="106">
        <v>1830.5</v>
      </c>
      <c r="E28" s="105">
        <v>0</v>
      </c>
    </row>
    <row r="29" spans="1:5" ht="15" thickBot="1" x14ac:dyDescent="0.35">
      <c r="A29" s="102">
        <v>28</v>
      </c>
      <c r="B29" s="103" t="s">
        <v>112</v>
      </c>
      <c r="C29" s="104">
        <v>3067.13</v>
      </c>
      <c r="D29" s="106">
        <v>1433.95</v>
      </c>
      <c r="E29" s="105">
        <v>0</v>
      </c>
    </row>
    <row r="30" spans="1:5" ht="15" thickBot="1" x14ac:dyDescent="0.35">
      <c r="A30" s="102">
        <v>29</v>
      </c>
      <c r="B30" s="103" t="s">
        <v>113</v>
      </c>
      <c r="C30" s="104">
        <v>5704.86</v>
      </c>
      <c r="D30" s="106">
        <v>2678.54</v>
      </c>
      <c r="E30" s="105">
        <v>0</v>
      </c>
    </row>
    <row r="31" spans="1:5" ht="15" thickBot="1" x14ac:dyDescent="0.35">
      <c r="A31" s="102">
        <v>30</v>
      </c>
      <c r="B31" s="107" t="s">
        <v>114</v>
      </c>
      <c r="C31" s="108">
        <v>0</v>
      </c>
      <c r="D31" s="108">
        <v>312.2</v>
      </c>
      <c r="E31" s="109">
        <v>0</v>
      </c>
    </row>
    <row r="32" spans="1:5" ht="27" customHeight="1" thickBot="1" x14ac:dyDescent="0.35">
      <c r="A32" s="110"/>
      <c r="B32" s="111" t="s">
        <v>115</v>
      </c>
      <c r="C32" s="112">
        <v>98671.37</v>
      </c>
      <c r="D32" s="112">
        <v>15253.78</v>
      </c>
      <c r="E32" s="112">
        <v>2195.59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2826E-4659-437E-B664-CF6821E41B8C}">
  <sheetPr>
    <pageSetUpPr fitToPage="1"/>
  </sheetPr>
  <dimension ref="A1:G46"/>
  <sheetViews>
    <sheetView tabSelected="1" workbookViewId="0">
      <selection sqref="A1:G46"/>
    </sheetView>
  </sheetViews>
  <sheetFormatPr defaultRowHeight="14.4" x14ac:dyDescent="0.3"/>
  <cols>
    <col min="1" max="1" width="4.44140625" bestFit="1" customWidth="1"/>
    <col min="2" max="2" width="51.77734375" customWidth="1"/>
    <col min="3" max="3" width="16.88671875" customWidth="1"/>
    <col min="4" max="4" width="15.21875" customWidth="1"/>
    <col min="5" max="5" width="13.77734375" customWidth="1"/>
    <col min="6" max="6" width="14.44140625" customWidth="1"/>
    <col min="7" max="7" width="12" customWidth="1"/>
  </cols>
  <sheetData>
    <row r="1" spans="1:7" ht="55.2" x14ac:dyDescent="0.3">
      <c r="A1" s="127" t="s">
        <v>0</v>
      </c>
      <c r="B1" s="127" t="s">
        <v>144</v>
      </c>
      <c r="C1" s="128" t="s">
        <v>145</v>
      </c>
      <c r="D1" s="129" t="s">
        <v>146</v>
      </c>
      <c r="E1" s="129" t="s">
        <v>147</v>
      </c>
      <c r="F1" s="128" t="s">
        <v>148</v>
      </c>
      <c r="G1" s="13" t="s">
        <v>149</v>
      </c>
    </row>
    <row r="2" spans="1:7" x14ac:dyDescent="0.3">
      <c r="A2" s="130" t="s">
        <v>150</v>
      </c>
      <c r="B2" s="131" t="s">
        <v>151</v>
      </c>
      <c r="C2" s="132"/>
      <c r="D2" s="132"/>
      <c r="E2" s="133"/>
      <c r="F2" s="134"/>
      <c r="G2" s="133"/>
    </row>
    <row r="3" spans="1:7" x14ac:dyDescent="0.3">
      <c r="A3" s="135">
        <v>1</v>
      </c>
      <c r="B3" s="136" t="s">
        <v>152</v>
      </c>
      <c r="C3" s="132"/>
      <c r="D3" s="132"/>
      <c r="E3" s="133"/>
      <c r="F3" s="134"/>
      <c r="G3" s="133"/>
    </row>
    <row r="4" spans="1:7" x14ac:dyDescent="0.3">
      <c r="A4" s="137"/>
      <c r="B4" s="138" t="s">
        <v>153</v>
      </c>
      <c r="C4" s="139"/>
      <c r="D4" s="139"/>
      <c r="E4" s="7"/>
      <c r="F4" s="24"/>
      <c r="G4" s="7"/>
    </row>
    <row r="5" spans="1:7" x14ac:dyDescent="0.3">
      <c r="A5" s="137" t="s">
        <v>154</v>
      </c>
      <c r="B5" s="138" t="s">
        <v>155</v>
      </c>
      <c r="C5" s="139">
        <v>4092841.43</v>
      </c>
      <c r="D5" s="139">
        <v>4328107.8899999997</v>
      </c>
      <c r="E5" s="140">
        <f t="shared" ref="E5:E12" si="0">D5/C5</f>
        <v>1.0574824273121179</v>
      </c>
      <c r="F5" s="141">
        <v>4789522.21</v>
      </c>
      <c r="G5" s="140">
        <f>F5/D5</f>
        <v>1.1066087841909136</v>
      </c>
    </row>
    <row r="6" spans="1:7" x14ac:dyDescent="0.3">
      <c r="A6" s="137" t="s">
        <v>156</v>
      </c>
      <c r="B6" s="138" t="s">
        <v>157</v>
      </c>
      <c r="C6" s="139">
        <v>1724953.764</v>
      </c>
      <c r="D6" s="139">
        <v>1979823.91</v>
      </c>
      <c r="E6" s="140">
        <f t="shared" si="0"/>
        <v>1.1477547696171178</v>
      </c>
      <c r="F6" s="141">
        <f>1979823.91*1.1046</f>
        <v>2186913.4909859998</v>
      </c>
      <c r="G6" s="140">
        <f t="shared" ref="G6:G12" si="1">F6/D6</f>
        <v>1.1046</v>
      </c>
    </row>
    <row r="7" spans="1:7" x14ac:dyDescent="0.3">
      <c r="A7" s="137" t="s">
        <v>158</v>
      </c>
      <c r="B7" s="138" t="s">
        <v>159</v>
      </c>
      <c r="C7" s="139">
        <v>972191.5344</v>
      </c>
      <c r="D7" s="139">
        <v>1427955.77</v>
      </c>
      <c r="E7" s="140">
        <f t="shared" si="0"/>
        <v>1.4688008684227851</v>
      </c>
      <c r="F7" s="141">
        <f>D7*1.1046</f>
        <v>1577319.9435420001</v>
      </c>
      <c r="G7" s="140">
        <f t="shared" si="1"/>
        <v>1.1046</v>
      </c>
    </row>
    <row r="8" spans="1:7" x14ac:dyDescent="0.3">
      <c r="A8" s="137" t="s">
        <v>160</v>
      </c>
      <c r="B8" s="138" t="s">
        <v>161</v>
      </c>
      <c r="C8" s="139">
        <v>1039586.64</v>
      </c>
      <c r="D8" s="139">
        <v>1125605.28</v>
      </c>
      <c r="E8" s="140">
        <f t="shared" si="0"/>
        <v>1.0827431179761986</v>
      </c>
      <c r="F8" s="141">
        <f>D8</f>
        <v>1125605.28</v>
      </c>
      <c r="G8" s="140">
        <f t="shared" si="1"/>
        <v>1</v>
      </c>
    </row>
    <row r="9" spans="1:7" x14ac:dyDescent="0.3">
      <c r="A9" s="137" t="s">
        <v>162</v>
      </c>
      <c r="B9" s="138" t="s">
        <v>163</v>
      </c>
      <c r="C9" s="139">
        <v>20685.72</v>
      </c>
      <c r="D9" s="139">
        <v>13404.57</v>
      </c>
      <c r="E9" s="140">
        <f t="shared" si="0"/>
        <v>0.64801080165447467</v>
      </c>
      <c r="F9" s="141">
        <f>D9</f>
        <v>13404.57</v>
      </c>
      <c r="G9" s="140">
        <f t="shared" si="1"/>
        <v>1</v>
      </c>
    </row>
    <row r="10" spans="1:7" x14ac:dyDescent="0.3">
      <c r="A10" s="137" t="s">
        <v>164</v>
      </c>
      <c r="B10" s="138" t="s">
        <v>165</v>
      </c>
      <c r="C10" s="139">
        <v>121319.01</v>
      </c>
      <c r="D10" s="139">
        <v>117208.43</v>
      </c>
      <c r="E10" s="140">
        <f t="shared" si="0"/>
        <v>0.96611759360713545</v>
      </c>
      <c r="F10" s="141">
        <f>D10*1.18</f>
        <v>138305.94739999998</v>
      </c>
      <c r="G10" s="140">
        <f t="shared" si="1"/>
        <v>1.18</v>
      </c>
    </row>
    <row r="11" spans="1:7" x14ac:dyDescent="0.3">
      <c r="A11" s="137" t="s">
        <v>166</v>
      </c>
      <c r="B11" s="138" t="s">
        <v>167</v>
      </c>
      <c r="C11" s="139">
        <v>3992453.8199999994</v>
      </c>
      <c r="D11" s="139">
        <v>4895926.6500000004</v>
      </c>
      <c r="E11" s="140">
        <f t="shared" si="0"/>
        <v>1.2262951234336383</v>
      </c>
      <c r="F11" s="141">
        <f>D11*1.2</f>
        <v>5875111.9800000004</v>
      </c>
      <c r="G11" s="140">
        <f t="shared" si="1"/>
        <v>1.2</v>
      </c>
    </row>
    <row r="12" spans="1:7" x14ac:dyDescent="0.3">
      <c r="A12" s="136"/>
      <c r="B12" s="142" t="s">
        <v>168</v>
      </c>
      <c r="C12" s="143">
        <f>SUM(C5:C11)</f>
        <v>11964031.918399999</v>
      </c>
      <c r="D12" s="143">
        <f>SUM(D5:D11)</f>
        <v>13888032.5</v>
      </c>
      <c r="E12" s="144">
        <f t="shared" si="0"/>
        <v>1.1608154002532372</v>
      </c>
      <c r="F12" s="145">
        <f>SUM(F5:F11)</f>
        <v>15706183.421928</v>
      </c>
      <c r="G12" s="144">
        <f t="shared" si="1"/>
        <v>1.1309149385939297</v>
      </c>
    </row>
    <row r="13" spans="1:7" x14ac:dyDescent="0.3">
      <c r="A13" s="146"/>
      <c r="B13" s="147"/>
      <c r="C13" s="139"/>
      <c r="D13" s="139"/>
      <c r="E13" s="7"/>
      <c r="F13" s="24"/>
      <c r="G13" s="7"/>
    </row>
    <row r="14" spans="1:7" x14ac:dyDescent="0.3">
      <c r="A14" s="148">
        <v>2</v>
      </c>
      <c r="B14" s="136" t="s">
        <v>169</v>
      </c>
      <c r="C14" s="132"/>
      <c r="D14" s="132"/>
      <c r="E14" s="133"/>
      <c r="F14" s="134"/>
      <c r="G14" s="133"/>
    </row>
    <row r="15" spans="1:7" x14ac:dyDescent="0.3">
      <c r="A15" s="137" t="s">
        <v>170</v>
      </c>
      <c r="B15" s="138" t="s">
        <v>202</v>
      </c>
      <c r="C15" s="139">
        <v>4502483.28</v>
      </c>
      <c r="D15" s="139">
        <f>4437000.4+49313.64</f>
        <v>4486314.04</v>
      </c>
      <c r="E15" s="140">
        <f t="shared" ref="E15:E22" si="2">D15/C15</f>
        <v>0.99640881731380904</v>
      </c>
      <c r="F15" s="141">
        <f>5195217.61-250000-10175.69</f>
        <v>4935041.92</v>
      </c>
      <c r="G15" s="140">
        <f t="shared" ref="G15:G22" si="3">F15/D15</f>
        <v>1.100021504513313</v>
      </c>
    </row>
    <row r="16" spans="1:7" x14ac:dyDescent="0.3">
      <c r="A16" s="137" t="s">
        <v>171</v>
      </c>
      <c r="B16" s="138" t="s">
        <v>157</v>
      </c>
      <c r="C16" s="139">
        <v>1724953.764</v>
      </c>
      <c r="D16" s="139">
        <f>D6</f>
        <v>1979823.91</v>
      </c>
      <c r="E16" s="140">
        <f t="shared" si="2"/>
        <v>1.1477547696171178</v>
      </c>
      <c r="F16" s="141">
        <f t="shared" ref="F16:F21" si="4">F6</f>
        <v>2186913.4909859998</v>
      </c>
      <c r="G16" s="140">
        <f t="shared" si="3"/>
        <v>1.1046</v>
      </c>
    </row>
    <row r="17" spans="1:7" x14ac:dyDescent="0.3">
      <c r="A17" s="137" t="s">
        <v>172</v>
      </c>
      <c r="B17" s="138" t="s">
        <v>159</v>
      </c>
      <c r="C17" s="139">
        <v>972191.5344</v>
      </c>
      <c r="D17" s="139">
        <f>D7</f>
        <v>1427955.77</v>
      </c>
      <c r="E17" s="140">
        <f t="shared" si="2"/>
        <v>1.4688008684227851</v>
      </c>
      <c r="F17" s="141">
        <f t="shared" si="4"/>
        <v>1577319.9435420001</v>
      </c>
      <c r="G17" s="140">
        <f t="shared" si="3"/>
        <v>1.1046</v>
      </c>
    </row>
    <row r="18" spans="1:7" x14ac:dyDescent="0.3">
      <c r="A18" s="137" t="s">
        <v>173</v>
      </c>
      <c r="B18" s="138" t="s">
        <v>174</v>
      </c>
      <c r="C18" s="139">
        <v>1039586.64</v>
      </c>
      <c r="D18" s="139">
        <v>1125788.28</v>
      </c>
      <c r="E18" s="140">
        <f t="shared" si="2"/>
        <v>1.0829191494804127</v>
      </c>
      <c r="F18" s="141">
        <f t="shared" si="4"/>
        <v>1125605.28</v>
      </c>
      <c r="G18" s="140">
        <f t="shared" si="3"/>
        <v>0.99983744723297352</v>
      </c>
    </row>
    <row r="19" spans="1:7" x14ac:dyDescent="0.3">
      <c r="A19" s="137" t="s">
        <v>175</v>
      </c>
      <c r="B19" s="138" t="s">
        <v>163</v>
      </c>
      <c r="C19" s="139">
        <v>20685.72</v>
      </c>
      <c r="D19" s="139">
        <v>17144.349999999999</v>
      </c>
      <c r="E19" s="140">
        <f t="shared" si="2"/>
        <v>0.82880122132562939</v>
      </c>
      <c r="F19" s="141">
        <f t="shared" si="4"/>
        <v>13404.57</v>
      </c>
      <c r="G19" s="140">
        <f t="shared" si="3"/>
        <v>0.78186516257542582</v>
      </c>
    </row>
    <row r="20" spans="1:7" x14ac:dyDescent="0.3">
      <c r="A20" s="137" t="s">
        <v>176</v>
      </c>
      <c r="B20" s="138" t="s">
        <v>165</v>
      </c>
      <c r="C20" s="139">
        <v>121319.01</v>
      </c>
      <c r="D20" s="139">
        <f>111575.41+102.56</f>
        <v>111677.97</v>
      </c>
      <c r="E20" s="140">
        <f t="shared" si="2"/>
        <v>0.92053149790787125</v>
      </c>
      <c r="F20" s="141">
        <f t="shared" si="4"/>
        <v>138305.94739999998</v>
      </c>
      <c r="G20" s="140">
        <f t="shared" si="3"/>
        <v>1.2384353637516869</v>
      </c>
    </row>
    <row r="21" spans="1:7" x14ac:dyDescent="0.3">
      <c r="A21" s="137" t="s">
        <v>177</v>
      </c>
      <c r="B21" s="138" t="s">
        <v>167</v>
      </c>
      <c r="C21" s="139">
        <v>3992453.8199999994</v>
      </c>
      <c r="D21" s="139">
        <f>D11</f>
        <v>4895926.6500000004</v>
      </c>
      <c r="E21" s="140">
        <f t="shared" si="2"/>
        <v>1.2262951234336383</v>
      </c>
      <c r="F21" s="141">
        <f t="shared" si="4"/>
        <v>5875111.9800000004</v>
      </c>
      <c r="G21" s="140">
        <f t="shared" si="3"/>
        <v>1.2</v>
      </c>
    </row>
    <row r="22" spans="1:7" x14ac:dyDescent="0.3">
      <c r="A22" s="136"/>
      <c r="B22" s="142" t="s">
        <v>178</v>
      </c>
      <c r="C22" s="143">
        <f>SUM(C15:C21)</f>
        <v>12373673.768399999</v>
      </c>
      <c r="D22" s="143">
        <f>SUM(D15:D21)</f>
        <v>14044630.970000001</v>
      </c>
      <c r="E22" s="144">
        <f t="shared" si="2"/>
        <v>1.1350413169827791</v>
      </c>
      <c r="F22" s="145">
        <f>SUM(F15:F21)</f>
        <v>15851703.131928001</v>
      </c>
      <c r="G22" s="144">
        <f t="shared" si="3"/>
        <v>1.1286664039651872</v>
      </c>
    </row>
    <row r="23" spans="1:7" x14ac:dyDescent="0.3">
      <c r="A23" s="137"/>
      <c r="B23" s="138"/>
      <c r="C23" s="139"/>
      <c r="D23" s="139"/>
      <c r="E23" s="7"/>
      <c r="F23" s="24"/>
      <c r="G23" s="140"/>
    </row>
    <row r="24" spans="1:7" x14ac:dyDescent="0.3">
      <c r="A24" s="148">
        <v>3</v>
      </c>
      <c r="B24" s="142" t="s">
        <v>179</v>
      </c>
      <c r="C24" s="143"/>
      <c r="D24" s="143"/>
      <c r="E24" s="149"/>
      <c r="F24" s="150"/>
      <c r="G24" s="149"/>
    </row>
    <row r="25" spans="1:7" x14ac:dyDescent="0.3">
      <c r="A25" s="137" t="s">
        <v>180</v>
      </c>
      <c r="B25" s="138" t="s">
        <v>155</v>
      </c>
      <c r="C25" s="139">
        <f t="shared" ref="C25:D31" si="5">C15-C5</f>
        <v>409641.85000000009</v>
      </c>
      <c r="D25" s="139">
        <f t="shared" si="5"/>
        <v>158206.15000000037</v>
      </c>
      <c r="E25" s="140">
        <f>D25/C25</f>
        <v>0.38620602362771367</v>
      </c>
      <c r="F25" s="141">
        <f t="shared" ref="F25:F31" si="6">F15-F5</f>
        <v>145519.70999999996</v>
      </c>
      <c r="G25" s="144">
        <f>F25/D25</f>
        <v>0.91981070268127774</v>
      </c>
    </row>
    <row r="26" spans="1:7" x14ac:dyDescent="0.3">
      <c r="A26" s="137" t="s">
        <v>181</v>
      </c>
      <c r="B26" s="138" t="s">
        <v>157</v>
      </c>
      <c r="C26" s="139">
        <f t="shared" si="5"/>
        <v>0</v>
      </c>
      <c r="D26" s="139">
        <f t="shared" si="5"/>
        <v>0</v>
      </c>
      <c r="E26" s="140"/>
      <c r="F26" s="139">
        <f t="shared" si="6"/>
        <v>0</v>
      </c>
      <c r="G26" s="140"/>
    </row>
    <row r="27" spans="1:7" x14ac:dyDescent="0.3">
      <c r="A27" s="137" t="s">
        <v>182</v>
      </c>
      <c r="B27" s="138" t="s">
        <v>159</v>
      </c>
      <c r="C27" s="139">
        <f t="shared" si="5"/>
        <v>0</v>
      </c>
      <c r="D27" s="139">
        <f t="shared" si="5"/>
        <v>0</v>
      </c>
      <c r="E27" s="140"/>
      <c r="F27" s="139">
        <f t="shared" si="6"/>
        <v>0</v>
      </c>
      <c r="G27" s="140"/>
    </row>
    <row r="28" spans="1:7" x14ac:dyDescent="0.3">
      <c r="A28" s="137" t="s">
        <v>183</v>
      </c>
      <c r="B28" s="138" t="s">
        <v>174</v>
      </c>
      <c r="C28" s="139">
        <f t="shared" si="5"/>
        <v>0</v>
      </c>
      <c r="D28" s="139">
        <f t="shared" si="5"/>
        <v>183</v>
      </c>
      <c r="E28" s="140"/>
      <c r="F28" s="139">
        <f t="shared" si="6"/>
        <v>0</v>
      </c>
      <c r="G28" s="140"/>
    </row>
    <row r="29" spans="1:7" x14ac:dyDescent="0.3">
      <c r="A29" s="137" t="s">
        <v>184</v>
      </c>
      <c r="B29" s="138" t="s">
        <v>163</v>
      </c>
      <c r="C29" s="139">
        <f t="shared" si="5"/>
        <v>0</v>
      </c>
      <c r="D29" s="139">
        <f t="shared" si="5"/>
        <v>3739.7799999999988</v>
      </c>
      <c r="E29" s="140"/>
      <c r="F29" s="139">
        <f t="shared" si="6"/>
        <v>0</v>
      </c>
      <c r="G29" s="140"/>
    </row>
    <row r="30" spans="1:7" x14ac:dyDescent="0.3">
      <c r="A30" s="137" t="s">
        <v>185</v>
      </c>
      <c r="B30" s="138" t="s">
        <v>165</v>
      </c>
      <c r="C30" s="139">
        <f t="shared" si="5"/>
        <v>0</v>
      </c>
      <c r="D30" s="139">
        <f t="shared" si="5"/>
        <v>-5530.4599999999919</v>
      </c>
      <c r="E30" s="140"/>
      <c r="F30" s="139">
        <f t="shared" si="6"/>
        <v>0</v>
      </c>
      <c r="G30" s="140"/>
    </row>
    <row r="31" spans="1:7" x14ac:dyDescent="0.3">
      <c r="A31" s="137" t="s">
        <v>186</v>
      </c>
      <c r="B31" s="138" t="s">
        <v>167</v>
      </c>
      <c r="C31" s="139">
        <f t="shared" si="5"/>
        <v>0</v>
      </c>
      <c r="D31" s="139">
        <f t="shared" si="5"/>
        <v>0</v>
      </c>
      <c r="E31" s="140"/>
      <c r="F31" s="139">
        <f t="shared" si="6"/>
        <v>0</v>
      </c>
      <c r="G31" s="140"/>
    </row>
    <row r="32" spans="1:7" ht="28.2" x14ac:dyDescent="0.3">
      <c r="A32" s="136"/>
      <c r="B32" s="170" t="s">
        <v>201</v>
      </c>
      <c r="C32" s="143">
        <f>SUM(C25:C31)</f>
        <v>409641.85000000009</v>
      </c>
      <c r="D32" s="143">
        <f>SUM(D25:D31)</f>
        <v>156598.47000000038</v>
      </c>
      <c r="E32" s="144">
        <f>D32/C32</f>
        <v>0.38228142461518605</v>
      </c>
      <c r="F32" s="145">
        <f>SUM(F25:F31)</f>
        <v>145519.70999999996</v>
      </c>
      <c r="G32" s="144">
        <f>F32/D32</f>
        <v>0.92925371493092879</v>
      </c>
    </row>
    <row r="33" spans="1:7" x14ac:dyDescent="0.3">
      <c r="A33" s="136"/>
      <c r="B33" s="142"/>
      <c r="C33" s="143"/>
      <c r="D33" s="143"/>
      <c r="E33" s="149"/>
      <c r="F33" s="150"/>
      <c r="G33" s="149"/>
    </row>
    <row r="34" spans="1:7" ht="27.6" hidden="1" x14ac:dyDescent="0.3">
      <c r="A34" s="136"/>
      <c r="B34" s="151" t="s">
        <v>187</v>
      </c>
      <c r="C34" s="152">
        <v>-604999.41</v>
      </c>
      <c r="D34" s="152"/>
      <c r="E34" s="153"/>
      <c r="F34" s="154"/>
      <c r="G34" s="153"/>
    </row>
    <row r="35" spans="1:7" ht="27.6" hidden="1" x14ac:dyDescent="0.3">
      <c r="A35" s="136"/>
      <c r="B35" s="151" t="s">
        <v>188</v>
      </c>
      <c r="C35" s="152"/>
      <c r="D35" s="152">
        <v>-649373.96</v>
      </c>
      <c r="E35" s="153"/>
      <c r="F35" s="154"/>
      <c r="G35" s="153"/>
    </row>
    <row r="36" spans="1:7" hidden="1" x14ac:dyDescent="0.3">
      <c r="A36" s="136"/>
      <c r="B36" s="151" t="s">
        <v>189</v>
      </c>
      <c r="C36" s="152">
        <v>409641.85</v>
      </c>
      <c r="D36" s="152"/>
      <c r="E36" s="153"/>
      <c r="F36" s="154"/>
      <c r="G36" s="153"/>
    </row>
    <row r="37" spans="1:7" ht="39.6" hidden="1" x14ac:dyDescent="0.3">
      <c r="A37" s="136"/>
      <c r="B37" s="155" t="s">
        <v>190</v>
      </c>
      <c r="C37" s="152">
        <f>114000+70330.63</f>
        <v>184330.63</v>
      </c>
      <c r="D37" s="152">
        <f>114000+70330.63</f>
        <v>184330.63</v>
      </c>
      <c r="E37" s="156"/>
      <c r="F37" s="157"/>
      <c r="G37" s="153"/>
    </row>
    <row r="38" spans="1:7" ht="60.45" customHeight="1" x14ac:dyDescent="0.3">
      <c r="A38" s="136"/>
      <c r="B38" s="151" t="s">
        <v>203</v>
      </c>
      <c r="C38" s="152"/>
      <c r="D38" s="152">
        <f>D32+D35+D37</f>
        <v>-308444.85999999958</v>
      </c>
      <c r="E38" s="156"/>
      <c r="F38" s="152">
        <f>D38</f>
        <v>-308444.85999999958</v>
      </c>
      <c r="G38" s="153">
        <f>F38/D38</f>
        <v>1</v>
      </c>
    </row>
    <row r="39" spans="1:7" hidden="1" x14ac:dyDescent="0.3">
      <c r="A39" s="136"/>
      <c r="B39" s="158" t="s">
        <v>191</v>
      </c>
      <c r="C39" s="152">
        <f>C34+C36+C37</f>
        <v>-11026.930000000051</v>
      </c>
      <c r="D39" s="152"/>
      <c r="E39" s="153"/>
      <c r="F39" s="154"/>
      <c r="G39" s="153"/>
    </row>
    <row r="40" spans="1:7" ht="39.6" x14ac:dyDescent="0.3">
      <c r="A40" s="126"/>
      <c r="B40" s="155" t="s">
        <v>192</v>
      </c>
      <c r="C40" s="159"/>
      <c r="D40" s="159"/>
      <c r="E40" s="159"/>
      <c r="F40" s="152">
        <v>250000</v>
      </c>
      <c r="G40" s="160"/>
    </row>
    <row r="41" spans="1:7" ht="31.2" x14ac:dyDescent="0.3">
      <c r="A41" s="131"/>
      <c r="B41" s="161" t="s">
        <v>193</v>
      </c>
      <c r="C41" s="159"/>
      <c r="D41" s="159"/>
      <c r="E41" s="159"/>
      <c r="F41" s="152">
        <v>10175.69</v>
      </c>
      <c r="G41" s="160"/>
    </row>
    <row r="42" spans="1:7" ht="26.4" x14ac:dyDescent="0.3">
      <c r="A42" s="131"/>
      <c r="B42" s="161" t="s">
        <v>194</v>
      </c>
      <c r="C42" s="159"/>
      <c r="D42" s="159"/>
      <c r="E42" s="159"/>
      <c r="F42" s="152">
        <f>F38+F32+F40+F41</f>
        <v>97250.540000000386</v>
      </c>
      <c r="G42" s="160"/>
    </row>
    <row r="43" spans="1:7" x14ac:dyDescent="0.3">
      <c r="A43" s="162"/>
      <c r="B43" s="163"/>
      <c r="F43" s="2"/>
    </row>
    <row r="44" spans="1:7" x14ac:dyDescent="0.3">
      <c r="A44" s="163"/>
      <c r="F44" s="2"/>
    </row>
    <row r="45" spans="1:7" x14ac:dyDescent="0.3">
      <c r="A45" s="163" t="s">
        <v>195</v>
      </c>
      <c r="B45" t="s">
        <v>196</v>
      </c>
      <c r="F45" s="2"/>
    </row>
    <row r="46" spans="1:7" x14ac:dyDescent="0.3">
      <c r="B46" t="s">
        <v>197</v>
      </c>
    </row>
  </sheetData>
  <pageMargins left="0.59055118110236227" right="0.39370078740157483" top="0.74803149606299213" bottom="0.74803149606299213" header="0.31496062992125984" footer="0.31496062992125984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B3F3E-56F3-4FED-A6B0-F75F8DA3B342}">
  <sheetPr>
    <pageSetUpPr fitToPage="1"/>
  </sheetPr>
  <dimension ref="A1:V73"/>
  <sheetViews>
    <sheetView topLeftCell="K1" zoomScale="98" zoomScaleNormal="98" workbookViewId="0">
      <pane ySplit="1" topLeftCell="A27" activePane="bottomLeft" state="frozen"/>
      <selection pane="bottomLeft" activeCell="V4" sqref="V4"/>
    </sheetView>
  </sheetViews>
  <sheetFormatPr defaultRowHeight="14.4" x14ac:dyDescent="0.3"/>
  <cols>
    <col min="1" max="1" width="4.44140625" bestFit="1" customWidth="1"/>
    <col min="2" max="2" width="18.44140625" customWidth="1"/>
    <col min="3" max="3" width="12.21875" customWidth="1"/>
    <col min="4" max="4" width="11.77734375" customWidth="1"/>
    <col min="5" max="5" width="13.33203125" customWidth="1"/>
    <col min="6" max="6" width="15.88671875" customWidth="1"/>
    <col min="7" max="7" width="13.77734375" bestFit="1" customWidth="1"/>
    <col min="8" max="8" width="14.33203125" customWidth="1"/>
    <col min="9" max="9" width="12.77734375" customWidth="1"/>
    <col min="10" max="10" width="14.77734375" customWidth="1"/>
    <col min="11" max="11" width="13.5546875" customWidth="1"/>
    <col min="12" max="12" width="15.44140625" customWidth="1"/>
    <col min="13" max="13" width="17.88671875" customWidth="1"/>
    <col min="14" max="14" width="15.77734375" customWidth="1"/>
    <col min="15" max="15" width="15.88671875" customWidth="1"/>
    <col min="16" max="16" width="18" customWidth="1"/>
    <col min="17" max="17" width="16.6640625" bestFit="1" customWidth="1"/>
    <col min="18" max="18" width="14.21875" customWidth="1"/>
    <col min="19" max="19" width="14.77734375" customWidth="1"/>
    <col min="20" max="20" width="12" bestFit="1" customWidth="1"/>
    <col min="21" max="21" width="16.5546875" customWidth="1"/>
    <col min="22" max="22" width="11.33203125" bestFit="1" customWidth="1"/>
  </cols>
  <sheetData>
    <row r="1" spans="1:22" ht="169.95" customHeight="1" x14ac:dyDescent="0.3">
      <c r="A1" s="10" t="s">
        <v>0</v>
      </c>
      <c r="B1" s="11" t="s">
        <v>1</v>
      </c>
      <c r="C1" s="11" t="s">
        <v>37</v>
      </c>
      <c r="D1" s="14" t="s">
        <v>2</v>
      </c>
      <c r="E1" s="14" t="s">
        <v>3</v>
      </c>
      <c r="F1" s="11" t="s">
        <v>46</v>
      </c>
      <c r="G1" s="11" t="s">
        <v>40</v>
      </c>
      <c r="H1" s="11" t="s">
        <v>41</v>
      </c>
      <c r="I1" s="11" t="s">
        <v>48</v>
      </c>
      <c r="J1" s="11" t="s">
        <v>198</v>
      </c>
      <c r="K1" s="11" t="s">
        <v>47</v>
      </c>
      <c r="L1" s="11" t="s">
        <v>55</v>
      </c>
      <c r="M1" s="11" t="s">
        <v>204</v>
      </c>
      <c r="N1" s="61" t="s">
        <v>61</v>
      </c>
      <c r="O1" s="32" t="s">
        <v>209</v>
      </c>
      <c r="P1" s="11" t="s">
        <v>205</v>
      </c>
      <c r="Q1" s="62" t="s">
        <v>199</v>
      </c>
      <c r="R1" s="6" t="s">
        <v>200</v>
      </c>
      <c r="S1" s="76" t="s">
        <v>60</v>
      </c>
      <c r="T1" s="63" t="s">
        <v>66</v>
      </c>
    </row>
    <row r="2" spans="1:22" ht="16.05" customHeight="1" x14ac:dyDescent="0.3">
      <c r="A2" s="10">
        <v>1</v>
      </c>
      <c r="B2" s="11">
        <v>2</v>
      </c>
      <c r="C2" s="10">
        <v>3</v>
      </c>
      <c r="D2" s="11">
        <v>4</v>
      </c>
      <c r="E2" s="10">
        <v>5</v>
      </c>
      <c r="F2" s="11">
        <v>6</v>
      </c>
      <c r="G2" s="11">
        <v>7</v>
      </c>
      <c r="H2" s="11">
        <v>8</v>
      </c>
      <c r="I2" s="11">
        <v>9</v>
      </c>
      <c r="J2" s="11">
        <v>10</v>
      </c>
      <c r="K2" s="10">
        <v>11</v>
      </c>
      <c r="L2" s="10">
        <v>12</v>
      </c>
      <c r="M2" s="10">
        <v>13</v>
      </c>
      <c r="N2" s="11">
        <v>14</v>
      </c>
      <c r="O2" s="11">
        <v>15</v>
      </c>
      <c r="P2" s="11">
        <v>16</v>
      </c>
      <c r="Q2" s="10">
        <v>17</v>
      </c>
      <c r="R2" s="11">
        <v>18</v>
      </c>
      <c r="S2" s="77">
        <v>19</v>
      </c>
      <c r="T2" s="13">
        <v>20</v>
      </c>
    </row>
    <row r="3" spans="1:22" ht="15.6" x14ac:dyDescent="0.3">
      <c r="A3" s="7">
        <v>1</v>
      </c>
      <c r="B3" s="19" t="s">
        <v>31</v>
      </c>
      <c r="C3" s="20">
        <v>3445.5</v>
      </c>
      <c r="D3" s="20">
        <v>160.9</v>
      </c>
      <c r="E3" s="20">
        <f t="shared" ref="E3:E31" si="0">C3-D3</f>
        <v>3284.6</v>
      </c>
      <c r="F3" s="25">
        <v>3.56</v>
      </c>
      <c r="G3" s="3">
        <v>-16482.170000000002</v>
      </c>
      <c r="H3" s="3">
        <v>6025.7199999999957</v>
      </c>
      <c r="I3" s="3">
        <v>6242.54</v>
      </c>
      <c r="J3" s="3">
        <f>G3+H3+I3</f>
        <v>-4213.9100000000062</v>
      </c>
      <c r="K3" s="3">
        <v>0</v>
      </c>
      <c r="L3" s="3">
        <f>$L$34/$E$32*E3</f>
        <v>8511.7919337630301</v>
      </c>
      <c r="M3" s="3">
        <f>(ROUND($L$32/$E$32*D3,2)+(D3*0.16*12))*2/12</f>
        <v>120.98133333333332</v>
      </c>
      <c r="N3" s="3">
        <v>134565.01090909092</v>
      </c>
      <c r="O3" s="3">
        <f>N3+'Zał 6.1. 25-01-2024'!L3</f>
        <v>149017.07237799608</v>
      </c>
      <c r="P3" s="3">
        <f>ROUND(C3*F3*5+S3*C3*7,2)+K3+L3+M3</f>
        <v>161371.79326709636</v>
      </c>
      <c r="Q3" s="3">
        <f>P3-O3</f>
        <v>12354.720889100281</v>
      </c>
      <c r="R3" s="3">
        <f>Q3+J3</f>
        <v>8140.8108891002748</v>
      </c>
      <c r="S3" s="169">
        <v>3.79</v>
      </c>
      <c r="T3" s="33">
        <f t="shared" ref="T3:T31" si="1">S3-F3</f>
        <v>0.22999999999999998</v>
      </c>
      <c r="U3" s="2">
        <v>134565.01090909092</v>
      </c>
      <c r="V3" s="2">
        <f>U3-Q3</f>
        <v>122210.29001999064</v>
      </c>
    </row>
    <row r="4" spans="1:22" ht="15.6" x14ac:dyDescent="0.3">
      <c r="A4" s="7">
        <v>2</v>
      </c>
      <c r="B4" s="19" t="s">
        <v>4</v>
      </c>
      <c r="C4" s="20">
        <v>1636.3</v>
      </c>
      <c r="D4" s="20">
        <v>75.900000000000006</v>
      </c>
      <c r="E4" s="20">
        <f t="shared" si="0"/>
        <v>1560.3999999999999</v>
      </c>
      <c r="F4" s="25">
        <v>3.57</v>
      </c>
      <c r="G4" s="3">
        <v>-15710.740000000002</v>
      </c>
      <c r="H4" s="3">
        <v>2412.65</v>
      </c>
      <c r="I4" s="3">
        <v>2965.62</v>
      </c>
      <c r="J4" s="3">
        <f t="shared" ref="J4:J31" si="2">G4+H4+I4</f>
        <v>-10332.470000000001</v>
      </c>
      <c r="K4" s="3">
        <v>782.46</v>
      </c>
      <c r="L4" s="3">
        <f t="shared" ref="L4:L31" si="3">$L$34/$E$32*E4</f>
        <v>4043.6583247408607</v>
      </c>
      <c r="M4" s="3">
        <f t="shared" ref="M4:M31" si="4">(ROUND($L$32/$E$32*D4,2)+(D4*0.16*12))*2/12</f>
        <v>57.06966666666667</v>
      </c>
      <c r="N4" s="3">
        <v>64483.701818181813</v>
      </c>
      <c r="O4" s="3">
        <f>N4+'Zał 6.1. 25-01-2024'!L4</f>
        <v>71347.12024266868</v>
      </c>
      <c r="P4" s="3">
        <f t="shared" ref="P4:P30" si="5">ROUND(C4*F4*5+S4*C4*7,2)+K4+L4+M4</f>
        <v>79907.547991407526</v>
      </c>
      <c r="Q4" s="3">
        <f t="shared" ref="Q4:Q31" si="6">P4-O4</f>
        <v>8560.4277487388463</v>
      </c>
      <c r="R4" s="3">
        <f t="shared" ref="R4:R31" si="7">Q4+J4</f>
        <v>-1772.0422512611549</v>
      </c>
      <c r="S4" s="169">
        <v>4</v>
      </c>
      <c r="T4" s="33">
        <f t="shared" si="1"/>
        <v>0.43000000000000016</v>
      </c>
      <c r="U4" s="2">
        <v>64483.701818181813</v>
      </c>
      <c r="V4" s="2">
        <f t="shared" ref="V4:V32" si="8">U4-Q4</f>
        <v>55923.274069442967</v>
      </c>
    </row>
    <row r="5" spans="1:22" ht="15.6" x14ac:dyDescent="0.3">
      <c r="A5" s="7">
        <v>3</v>
      </c>
      <c r="B5" s="19" t="s">
        <v>32</v>
      </c>
      <c r="C5" s="20">
        <v>1132.5999999999999</v>
      </c>
      <c r="D5" s="20">
        <v>117.2</v>
      </c>
      <c r="E5" s="20">
        <f t="shared" si="0"/>
        <v>1015.3999999999999</v>
      </c>
      <c r="F5" s="25">
        <v>3.91</v>
      </c>
      <c r="G5" s="3">
        <v>-20291.649999999998</v>
      </c>
      <c r="H5" s="3">
        <v>541.25</v>
      </c>
      <c r="I5" s="3">
        <v>1929.81</v>
      </c>
      <c r="J5" s="3">
        <f t="shared" si="2"/>
        <v>-17820.589999999997</v>
      </c>
      <c r="K5" s="3">
        <v>0</v>
      </c>
      <c r="L5" s="3">
        <f t="shared" si="3"/>
        <v>2631.3321346717953</v>
      </c>
      <c r="M5" s="3">
        <f t="shared" si="4"/>
        <v>88.122333333333344</v>
      </c>
      <c r="N5" s="3">
        <v>49491.065454545445</v>
      </c>
      <c r="O5" s="3">
        <f>N5+'Zał 6.1. 25-01-2024'!L5</f>
        <v>54241.727134905908</v>
      </c>
      <c r="P5" s="3">
        <f t="shared" si="5"/>
        <v>60538.684468005129</v>
      </c>
      <c r="Q5" s="3">
        <f t="shared" si="6"/>
        <v>6296.9573330992207</v>
      </c>
      <c r="R5" s="3">
        <f t="shared" si="7"/>
        <v>-11523.632666900776</v>
      </c>
      <c r="S5" s="169">
        <v>4.5</v>
      </c>
      <c r="T5" s="33">
        <f t="shared" si="1"/>
        <v>0.58999999999999986</v>
      </c>
      <c r="U5" s="2">
        <v>49491.065454545445</v>
      </c>
      <c r="V5" s="2">
        <f t="shared" si="8"/>
        <v>43194.108121446225</v>
      </c>
    </row>
    <row r="6" spans="1:22" ht="15.6" x14ac:dyDescent="0.3">
      <c r="A6" s="7">
        <v>4</v>
      </c>
      <c r="B6" s="19" t="s">
        <v>5</v>
      </c>
      <c r="C6" s="21">
        <f>2928.1+336.6*0.6+412</f>
        <v>3542.06</v>
      </c>
      <c r="D6" s="21">
        <v>68</v>
      </c>
      <c r="E6" s="20">
        <f t="shared" si="0"/>
        <v>3474.06</v>
      </c>
      <c r="F6" s="26">
        <v>3.67</v>
      </c>
      <c r="G6" s="3">
        <v>-20530.97</v>
      </c>
      <c r="H6" s="3">
        <v>7998.72</v>
      </c>
      <c r="I6" s="3">
        <v>6602.62</v>
      </c>
      <c r="J6" s="3">
        <f t="shared" si="2"/>
        <v>-5929.63</v>
      </c>
      <c r="K6" s="3">
        <v>272.16000000000003</v>
      </c>
      <c r="L6" s="3">
        <f t="shared" si="3"/>
        <v>9002.7631630666729</v>
      </c>
      <c r="M6" s="3">
        <f t="shared" si="4"/>
        <v>51.129999999999995</v>
      </c>
      <c r="N6" s="3">
        <v>136962.22818181821</v>
      </c>
      <c r="O6" s="3">
        <f>N6+'Zał 6.1. 25-01-2024'!L6</f>
        <v>151819.30809664921</v>
      </c>
      <c r="P6" s="3">
        <f t="shared" si="5"/>
        <v>171021.09316306669</v>
      </c>
      <c r="Q6" s="3">
        <f t="shared" si="6"/>
        <v>19201.785066417477</v>
      </c>
      <c r="R6" s="3">
        <f t="shared" si="7"/>
        <v>13272.155066417476</v>
      </c>
      <c r="S6" s="169">
        <v>3.9</v>
      </c>
      <c r="T6" s="33">
        <f t="shared" si="1"/>
        <v>0.22999999999999998</v>
      </c>
      <c r="U6" s="2">
        <v>136962.22818181821</v>
      </c>
      <c r="V6" s="2">
        <f t="shared" si="8"/>
        <v>117760.44311540073</v>
      </c>
    </row>
    <row r="7" spans="1:22" ht="15.6" x14ac:dyDescent="0.3">
      <c r="A7" s="7">
        <v>5</v>
      </c>
      <c r="B7" s="19" t="s">
        <v>6</v>
      </c>
      <c r="C7" s="20">
        <f>5933.6+64.2</f>
        <v>5997.8</v>
      </c>
      <c r="D7" s="20">
        <v>414.9</v>
      </c>
      <c r="E7" s="20">
        <f t="shared" si="0"/>
        <v>5582.9000000000005</v>
      </c>
      <c r="F7" s="25">
        <v>3.28</v>
      </c>
      <c r="G7" s="3">
        <v>-22229.22</v>
      </c>
      <c r="H7" s="3">
        <v>15790.72</v>
      </c>
      <c r="I7" s="3">
        <v>10610.57</v>
      </c>
      <c r="J7" s="3">
        <f t="shared" si="2"/>
        <v>4172.0699999999979</v>
      </c>
      <c r="K7" s="3">
        <v>0</v>
      </c>
      <c r="L7" s="3">
        <f t="shared" si="3"/>
        <v>14467.662177131348</v>
      </c>
      <c r="M7" s="3">
        <f t="shared" si="4"/>
        <v>311.96466666666669</v>
      </c>
      <c r="N7" s="3">
        <v>213902.61272727276</v>
      </c>
      <c r="O7" s="3">
        <f>N7+'Zał 6.1. 25-01-2024'!L7</f>
        <v>239060.2311507815</v>
      </c>
      <c r="P7" s="3">
        <f t="shared" si="5"/>
        <v>250853.03684379801</v>
      </c>
      <c r="Q7" s="3">
        <f t="shared" si="6"/>
        <v>11792.805693016504</v>
      </c>
      <c r="R7" s="3">
        <f t="shared" si="7"/>
        <v>15964.875693016502</v>
      </c>
      <c r="S7" s="169">
        <v>3.28</v>
      </c>
      <c r="T7" s="33">
        <f t="shared" si="1"/>
        <v>0</v>
      </c>
      <c r="U7" s="2">
        <v>213902.61272727276</v>
      </c>
      <c r="V7" s="2">
        <f t="shared" si="8"/>
        <v>202109.80703425626</v>
      </c>
    </row>
    <row r="8" spans="1:22" ht="15.6" x14ac:dyDescent="0.3">
      <c r="A8" s="7">
        <v>6</v>
      </c>
      <c r="B8" s="19" t="s">
        <v>7</v>
      </c>
      <c r="C8" s="20">
        <v>2721.99</v>
      </c>
      <c r="D8" s="20">
        <v>146.34</v>
      </c>
      <c r="E8" s="20">
        <f t="shared" si="0"/>
        <v>2575.6499999999996</v>
      </c>
      <c r="F8" s="25">
        <v>3.62</v>
      </c>
      <c r="G8" s="3">
        <v>-20880.55</v>
      </c>
      <c r="H8" s="3">
        <v>16571.41</v>
      </c>
      <c r="I8" s="3">
        <v>4895.1400000000003</v>
      </c>
      <c r="J8" s="3">
        <f t="shared" si="2"/>
        <v>586.00000000000091</v>
      </c>
      <c r="K8" s="3">
        <v>0</v>
      </c>
      <c r="L8" s="3">
        <f t="shared" si="3"/>
        <v>6674.6017457823618</v>
      </c>
      <c r="M8" s="3">
        <f t="shared" si="4"/>
        <v>110.0338</v>
      </c>
      <c r="N8" s="3">
        <v>94187.507272727264</v>
      </c>
      <c r="O8" s="3">
        <f>N8+'Zał 6.1. 25-01-2024'!L8</f>
        <v>105604.82458450933</v>
      </c>
      <c r="P8" s="3">
        <f t="shared" si="5"/>
        <v>125027.88554578237</v>
      </c>
      <c r="Q8" s="3">
        <f t="shared" si="6"/>
        <v>19423.060961273033</v>
      </c>
      <c r="R8" s="3">
        <f t="shared" si="7"/>
        <v>20009.060961273033</v>
      </c>
      <c r="S8" s="169">
        <v>3.62</v>
      </c>
      <c r="T8" s="33">
        <f t="shared" si="1"/>
        <v>0</v>
      </c>
      <c r="U8" s="2">
        <v>94187.507272727264</v>
      </c>
      <c r="V8" s="2">
        <f t="shared" si="8"/>
        <v>74764.44631145423</v>
      </c>
    </row>
    <row r="9" spans="1:22" ht="15.6" x14ac:dyDescent="0.3">
      <c r="A9" s="7">
        <v>7</v>
      </c>
      <c r="B9" s="19" t="s">
        <v>8</v>
      </c>
      <c r="C9" s="20">
        <f>3970.72+353.27*0.6</f>
        <v>4182.6819999999998</v>
      </c>
      <c r="D9" s="20">
        <v>284.23</v>
      </c>
      <c r="E9" s="20">
        <f t="shared" si="0"/>
        <v>3898.4519999999998</v>
      </c>
      <c r="F9" s="25">
        <v>3.63</v>
      </c>
      <c r="G9" s="3">
        <v>-22896.81</v>
      </c>
      <c r="H9" s="3">
        <v>19821.439999999999</v>
      </c>
      <c r="I9" s="3">
        <v>7409.2</v>
      </c>
      <c r="J9" s="3">
        <f t="shared" si="2"/>
        <v>4333.8299999999972</v>
      </c>
      <c r="K9" s="3">
        <v>0</v>
      </c>
      <c r="L9" s="3">
        <f t="shared" si="3"/>
        <v>10102.542862985554</v>
      </c>
      <c r="M9" s="3">
        <f t="shared" si="4"/>
        <v>213.71360000000001</v>
      </c>
      <c r="N9" s="3">
        <v>150775.54636363636</v>
      </c>
      <c r="O9" s="3">
        <f>N9+'Zał 6.1. 25-01-2024'!L9</f>
        <v>168319.69884335864</v>
      </c>
      <c r="P9" s="3">
        <f t="shared" si="5"/>
        <v>192513.88646298554</v>
      </c>
      <c r="Q9" s="3">
        <f t="shared" si="6"/>
        <v>24194.1876196269</v>
      </c>
      <c r="R9" s="3">
        <f t="shared" si="7"/>
        <v>28528.017619626899</v>
      </c>
      <c r="S9" s="169">
        <v>3.63</v>
      </c>
      <c r="T9" s="33">
        <f t="shared" si="1"/>
        <v>0</v>
      </c>
      <c r="U9" s="2">
        <v>150775.54636363636</v>
      </c>
      <c r="V9" s="2">
        <f t="shared" si="8"/>
        <v>126581.35874400946</v>
      </c>
    </row>
    <row r="10" spans="1:22" ht="15.6" x14ac:dyDescent="0.3">
      <c r="A10" s="7">
        <v>8</v>
      </c>
      <c r="B10" s="19" t="s">
        <v>9</v>
      </c>
      <c r="C10" s="20">
        <v>6192.08</v>
      </c>
      <c r="D10" s="20">
        <v>912.99</v>
      </c>
      <c r="E10" s="20">
        <f t="shared" si="0"/>
        <v>5279.09</v>
      </c>
      <c r="F10" s="25">
        <v>3.52</v>
      </c>
      <c r="G10" s="3">
        <v>-32955.71</v>
      </c>
      <c r="H10" s="3">
        <v>19755.439999999999</v>
      </c>
      <c r="I10" s="3">
        <v>10148.700000000001</v>
      </c>
      <c r="J10" s="3">
        <f t="shared" si="2"/>
        <v>-3051.5699999999997</v>
      </c>
      <c r="K10" s="3">
        <v>136.08000000000001</v>
      </c>
      <c r="L10" s="3">
        <f t="shared" si="3"/>
        <v>13680.361590333398</v>
      </c>
      <c r="M10" s="3">
        <f t="shared" si="4"/>
        <v>686.48013333333347</v>
      </c>
      <c r="N10" s="3">
        <v>230410.16636363638</v>
      </c>
      <c r="O10" s="3">
        <f>N10+'Zał 6.1. 25-01-2024'!L10</f>
        <v>256382.68726927511</v>
      </c>
      <c r="P10" s="3">
        <f t="shared" si="5"/>
        <v>276056.38172366674</v>
      </c>
      <c r="Q10" s="3">
        <f t="shared" si="6"/>
        <v>19673.694454391632</v>
      </c>
      <c r="R10" s="3">
        <f t="shared" si="7"/>
        <v>16622.124454391633</v>
      </c>
      <c r="S10" s="169">
        <v>3.52</v>
      </c>
      <c r="T10" s="33">
        <f t="shared" si="1"/>
        <v>0</v>
      </c>
      <c r="U10" s="2">
        <v>230410.16636363638</v>
      </c>
      <c r="V10" s="2">
        <f t="shared" si="8"/>
        <v>210736.47190924475</v>
      </c>
    </row>
    <row r="11" spans="1:22" ht="15.6" x14ac:dyDescent="0.3">
      <c r="A11" s="7">
        <v>9</v>
      </c>
      <c r="B11" s="19" t="s">
        <v>10</v>
      </c>
      <c r="C11" s="20">
        <f>1411+188.64*0.6</f>
        <v>1524.184</v>
      </c>
      <c r="D11" s="20">
        <v>185.41</v>
      </c>
      <c r="E11" s="20">
        <f t="shared" si="0"/>
        <v>1338.7739999999999</v>
      </c>
      <c r="F11" s="25">
        <v>3.64</v>
      </c>
      <c r="G11" s="3">
        <v>-15159.099999999999</v>
      </c>
      <c r="H11" s="3">
        <v>1884.58</v>
      </c>
      <c r="I11" s="3">
        <v>2544.41</v>
      </c>
      <c r="J11" s="3">
        <f t="shared" si="2"/>
        <v>-10730.109999999999</v>
      </c>
      <c r="K11" s="3">
        <v>0</v>
      </c>
      <c r="L11" s="3">
        <f t="shared" si="3"/>
        <v>3469.331344556922</v>
      </c>
      <c r="M11" s="3">
        <f t="shared" si="4"/>
        <v>139.41120000000001</v>
      </c>
      <c r="N11" s="3">
        <v>61155.921818181814</v>
      </c>
      <c r="O11" s="3">
        <f>N11+'Zał 6.1. 25-01-2024'!L11</f>
        <v>67549.072553320904</v>
      </c>
      <c r="P11" s="3">
        <f t="shared" si="5"/>
        <v>75306.36254455692</v>
      </c>
      <c r="Q11" s="3">
        <f t="shared" si="6"/>
        <v>7757.2899912360153</v>
      </c>
      <c r="R11" s="3">
        <f t="shared" si="7"/>
        <v>-2972.8200087639834</v>
      </c>
      <c r="S11" s="169">
        <v>4.12</v>
      </c>
      <c r="T11" s="33">
        <f t="shared" si="1"/>
        <v>0.48</v>
      </c>
      <c r="U11" s="2">
        <v>61155.921818181814</v>
      </c>
      <c r="V11" s="2">
        <f t="shared" si="8"/>
        <v>53398.631826945799</v>
      </c>
    </row>
    <row r="12" spans="1:22" ht="15.6" x14ac:dyDescent="0.3">
      <c r="A12" s="7">
        <v>10</v>
      </c>
      <c r="B12" s="19" t="s">
        <v>11</v>
      </c>
      <c r="C12" s="20">
        <f>1525.18+190.8*0.6</f>
        <v>1639.66</v>
      </c>
      <c r="D12" s="20">
        <v>196.39</v>
      </c>
      <c r="E12" s="20">
        <f t="shared" si="0"/>
        <v>1443.27</v>
      </c>
      <c r="F12" s="25">
        <v>3.38</v>
      </c>
      <c r="G12" s="3">
        <v>-8533.630000000001</v>
      </c>
      <c r="H12" s="3">
        <v>-431.76</v>
      </c>
      <c r="I12" s="3">
        <v>2743</v>
      </c>
      <c r="J12" s="3">
        <f t="shared" si="2"/>
        <v>-6222.3900000000012</v>
      </c>
      <c r="K12" s="3">
        <v>0</v>
      </c>
      <c r="L12" s="3">
        <f t="shared" si="3"/>
        <v>3740.1248079651</v>
      </c>
      <c r="M12" s="3">
        <f t="shared" si="4"/>
        <v>147.66646666666668</v>
      </c>
      <c r="N12" s="3">
        <v>63881.92363636363</v>
      </c>
      <c r="O12" s="3">
        <f>N12+'Zał 6.1. 25-01-2024'!L12</f>
        <v>70759.435494760095</v>
      </c>
      <c r="P12" s="3">
        <f t="shared" si="5"/>
        <v>76934.641274631766</v>
      </c>
      <c r="Q12" s="3">
        <f t="shared" si="6"/>
        <v>6175.2057798716705</v>
      </c>
      <c r="R12" s="3">
        <f t="shared" si="7"/>
        <v>-47.184220128330708</v>
      </c>
      <c r="S12" s="169">
        <v>3.95</v>
      </c>
      <c r="T12" s="33">
        <f t="shared" si="1"/>
        <v>0.57000000000000028</v>
      </c>
      <c r="U12" s="2">
        <v>63881.92363636363</v>
      </c>
      <c r="V12" s="2">
        <f t="shared" si="8"/>
        <v>57706.71785649196</v>
      </c>
    </row>
    <row r="13" spans="1:22" ht="15.6" x14ac:dyDescent="0.3">
      <c r="A13" s="7">
        <v>11</v>
      </c>
      <c r="B13" s="19" t="s">
        <v>12</v>
      </c>
      <c r="C13" s="20">
        <f>1423.32+189.72*0.6</f>
        <v>1537.152</v>
      </c>
      <c r="D13" s="20">
        <v>135.54</v>
      </c>
      <c r="E13" s="20">
        <f t="shared" si="0"/>
        <v>1401.6120000000001</v>
      </c>
      <c r="F13" s="25">
        <v>3.64</v>
      </c>
      <c r="G13" s="3">
        <v>-13423.23</v>
      </c>
      <c r="H13" s="3">
        <v>-2643.47</v>
      </c>
      <c r="I13" s="3">
        <v>2663.83</v>
      </c>
      <c r="J13" s="3">
        <f t="shared" si="2"/>
        <v>-13402.869999999999</v>
      </c>
      <c r="K13" s="3">
        <v>0</v>
      </c>
      <c r="L13" s="3">
        <f t="shared" si="3"/>
        <v>3632.1712585597847</v>
      </c>
      <c r="M13" s="3">
        <f t="shared" si="4"/>
        <v>101.9128</v>
      </c>
      <c r="N13" s="3">
        <v>66287.563636363629</v>
      </c>
      <c r="O13" s="3">
        <f>N13+'Zał 6.1. 25-01-2024'!L13</f>
        <v>72735.108315234771</v>
      </c>
      <c r="P13" s="3">
        <f t="shared" si="5"/>
        <v>76041.714058559795</v>
      </c>
      <c r="Q13" s="3">
        <f t="shared" si="6"/>
        <v>3306.6057433250244</v>
      </c>
      <c r="R13" s="3">
        <f t="shared" si="7"/>
        <v>-10096.264256674975</v>
      </c>
      <c r="S13" s="169">
        <v>4.12</v>
      </c>
      <c r="T13" s="33">
        <f t="shared" si="1"/>
        <v>0.48</v>
      </c>
      <c r="U13" s="2">
        <v>66287.563636363629</v>
      </c>
      <c r="V13" s="2">
        <f t="shared" si="8"/>
        <v>62980.957893038605</v>
      </c>
    </row>
    <row r="14" spans="1:22" ht="15.6" x14ac:dyDescent="0.3">
      <c r="A14" s="7">
        <v>12</v>
      </c>
      <c r="B14" s="19" t="s">
        <v>13</v>
      </c>
      <c r="C14" s="20">
        <f>4316.48+499.93*0.6+155.4</f>
        <v>4771.8379999999988</v>
      </c>
      <c r="D14" s="20">
        <v>354.54</v>
      </c>
      <c r="E14" s="20">
        <f t="shared" si="0"/>
        <v>4417.2979999999989</v>
      </c>
      <c r="F14" s="25">
        <v>3.54</v>
      </c>
      <c r="G14" s="3">
        <v>-24357.41</v>
      </c>
      <c r="H14" s="3">
        <v>11102.12</v>
      </c>
      <c r="I14" s="3">
        <v>8395.2900000000009</v>
      </c>
      <c r="J14" s="3">
        <f t="shared" si="2"/>
        <v>-4859.9999999999982</v>
      </c>
      <c r="K14" s="3">
        <v>276.58</v>
      </c>
      <c r="L14" s="3">
        <f t="shared" si="3"/>
        <v>11447.092944476513</v>
      </c>
      <c r="M14" s="3">
        <f t="shared" si="4"/>
        <v>266.57946666666663</v>
      </c>
      <c r="N14" s="3">
        <v>180721.56363636363</v>
      </c>
      <c r="O14" s="3">
        <f>N14+'Zał 6.1. 25-01-2024'!L14</f>
        <v>200736.91586264645</v>
      </c>
      <c r="P14" s="3">
        <f t="shared" si="5"/>
        <v>222380.59241114318</v>
      </c>
      <c r="Q14" s="3">
        <f t="shared" si="6"/>
        <v>21643.676548496733</v>
      </c>
      <c r="R14" s="3">
        <f t="shared" si="7"/>
        <v>16783.676548496733</v>
      </c>
      <c r="S14" s="169">
        <v>3.77</v>
      </c>
      <c r="T14" s="33">
        <f t="shared" si="1"/>
        <v>0.22999999999999998</v>
      </c>
      <c r="U14" s="2">
        <v>180721.56363636363</v>
      </c>
      <c r="V14" s="2">
        <f t="shared" si="8"/>
        <v>159077.8870878669</v>
      </c>
    </row>
    <row r="15" spans="1:22" ht="15.6" x14ac:dyDescent="0.3">
      <c r="A15" s="7">
        <v>13</v>
      </c>
      <c r="B15" s="19" t="s">
        <v>14</v>
      </c>
      <c r="C15" s="20">
        <f>3184.69+431.21*0.6</f>
        <v>3443.4160000000002</v>
      </c>
      <c r="D15" s="20">
        <v>293.58</v>
      </c>
      <c r="E15" s="20">
        <f t="shared" si="0"/>
        <v>3149.8360000000002</v>
      </c>
      <c r="F15" s="25">
        <v>3.4</v>
      </c>
      <c r="G15" s="3">
        <v>-8959.1000000000022</v>
      </c>
      <c r="H15" s="3">
        <v>2333.4499999999998</v>
      </c>
      <c r="I15" s="3">
        <v>6045.22</v>
      </c>
      <c r="J15" s="3">
        <f t="shared" si="2"/>
        <v>-580.43000000000211</v>
      </c>
      <c r="K15" s="3">
        <v>6915.87</v>
      </c>
      <c r="L15" s="3">
        <f t="shared" si="3"/>
        <v>8162.5612426098796</v>
      </c>
      <c r="M15" s="3">
        <f t="shared" si="4"/>
        <v>220.74393333333333</v>
      </c>
      <c r="N15" s="3">
        <v>141943.50272727275</v>
      </c>
      <c r="O15" s="3">
        <f>N15+'Zał 6.1. 25-01-2024'!L15</f>
        <v>156386.82291157445</v>
      </c>
      <c r="P15" s="3">
        <f t="shared" si="5"/>
        <v>161334.4451759432</v>
      </c>
      <c r="Q15" s="3">
        <f t="shared" si="6"/>
        <v>4947.6222643687506</v>
      </c>
      <c r="R15" s="3">
        <f t="shared" si="7"/>
        <v>4367.1922643687485</v>
      </c>
      <c r="S15" s="169">
        <v>3.63</v>
      </c>
      <c r="T15" s="33">
        <f t="shared" si="1"/>
        <v>0.22999999999999998</v>
      </c>
      <c r="U15" s="2">
        <v>141943.50272727275</v>
      </c>
      <c r="V15" s="2">
        <f t="shared" si="8"/>
        <v>136995.880462904</v>
      </c>
    </row>
    <row r="16" spans="1:22" ht="15.6" x14ac:dyDescent="0.3">
      <c r="A16" s="7">
        <v>14</v>
      </c>
      <c r="B16" s="19" t="s">
        <v>15</v>
      </c>
      <c r="C16" s="20">
        <f>4450.83+483.4*0.6</f>
        <v>4740.87</v>
      </c>
      <c r="D16" s="20">
        <v>106.61</v>
      </c>
      <c r="E16" s="20">
        <f t="shared" si="0"/>
        <v>4634.26</v>
      </c>
      <c r="F16" s="25">
        <v>3.42</v>
      </c>
      <c r="G16" s="3">
        <v>-21438.75</v>
      </c>
      <c r="H16" s="3">
        <v>10827.02</v>
      </c>
      <c r="I16" s="3">
        <v>8807.64</v>
      </c>
      <c r="J16" s="3">
        <f t="shared" si="2"/>
        <v>-1804.0900000000001</v>
      </c>
      <c r="K16" s="3">
        <v>0</v>
      </c>
      <c r="L16" s="3">
        <f t="shared" si="3"/>
        <v>12009.333522182507</v>
      </c>
      <c r="M16" s="3">
        <f t="shared" si="4"/>
        <v>80.160199999999989</v>
      </c>
      <c r="N16" s="3">
        <v>178692.56454545452</v>
      </c>
      <c r="O16" s="3">
        <f>N16+'Zał 6.1. 25-01-2024'!L16</f>
        <v>198578.02228920386</v>
      </c>
      <c r="P16" s="3">
        <f t="shared" si="5"/>
        <v>214287.60372218251</v>
      </c>
      <c r="Q16" s="3">
        <f t="shared" si="6"/>
        <v>15709.581432978652</v>
      </c>
      <c r="R16" s="3">
        <f t="shared" si="7"/>
        <v>13905.491432978652</v>
      </c>
      <c r="S16" s="169">
        <v>3.65</v>
      </c>
      <c r="T16" s="33">
        <f t="shared" si="1"/>
        <v>0.22999999999999998</v>
      </c>
      <c r="U16" s="2">
        <v>178692.56454545452</v>
      </c>
      <c r="V16" s="2">
        <f t="shared" si="8"/>
        <v>162982.98311247586</v>
      </c>
    </row>
    <row r="17" spans="1:22" ht="15.6" x14ac:dyDescent="0.3">
      <c r="A17" s="7">
        <v>15</v>
      </c>
      <c r="B17" s="19" t="s">
        <v>16</v>
      </c>
      <c r="C17" s="20">
        <v>1642.74</v>
      </c>
      <c r="D17" s="20">
        <v>72.430000000000007</v>
      </c>
      <c r="E17" s="20">
        <f t="shared" si="0"/>
        <v>1570.31</v>
      </c>
      <c r="F17" s="25">
        <v>3.9</v>
      </c>
      <c r="G17" s="3">
        <v>-19901.8</v>
      </c>
      <c r="H17" s="3">
        <v>8033.06</v>
      </c>
      <c r="I17" s="3">
        <v>2984.46</v>
      </c>
      <c r="J17" s="3">
        <f t="shared" si="2"/>
        <v>-8884.2799999999988</v>
      </c>
      <c r="K17" s="3">
        <v>0</v>
      </c>
      <c r="L17" s="3">
        <f t="shared" si="3"/>
        <v>4069.3393385823001</v>
      </c>
      <c r="M17" s="3">
        <f t="shared" si="4"/>
        <v>54.460933333333337</v>
      </c>
      <c r="N17" s="3">
        <v>70897.876363636358</v>
      </c>
      <c r="O17" s="3">
        <f>N17+'Zał 6.1. 25-01-2024'!L17</f>
        <v>77788.307203116623</v>
      </c>
      <c r="P17" s="3">
        <f t="shared" si="5"/>
        <v>85603.70027191563</v>
      </c>
      <c r="Q17" s="3">
        <f t="shared" si="6"/>
        <v>7815.3930687990069</v>
      </c>
      <c r="R17" s="3">
        <f t="shared" si="7"/>
        <v>-1068.886931200992</v>
      </c>
      <c r="S17" s="169">
        <v>4.3</v>
      </c>
      <c r="T17" s="33">
        <f t="shared" si="1"/>
        <v>0.39999999999999991</v>
      </c>
      <c r="U17" s="2">
        <v>70897.876363636358</v>
      </c>
      <c r="V17" s="2">
        <f t="shared" si="8"/>
        <v>63082.483294837351</v>
      </c>
    </row>
    <row r="18" spans="1:22" ht="15.6" x14ac:dyDescent="0.3">
      <c r="A18" s="7">
        <v>16</v>
      </c>
      <c r="B18" s="19" t="s">
        <v>17</v>
      </c>
      <c r="C18" s="20">
        <f>2679.9+529.2</f>
        <v>3209.1000000000004</v>
      </c>
      <c r="D18" s="20">
        <v>113</v>
      </c>
      <c r="E18" s="20">
        <f t="shared" si="0"/>
        <v>3096.1000000000004</v>
      </c>
      <c r="F18" s="25">
        <v>3.53</v>
      </c>
      <c r="G18" s="3">
        <v>-18123.39</v>
      </c>
      <c r="H18" s="3">
        <v>-5450.94</v>
      </c>
      <c r="I18" s="3">
        <v>5884.29</v>
      </c>
      <c r="J18" s="3">
        <f t="shared" si="2"/>
        <v>-17690.039999999997</v>
      </c>
      <c r="K18" s="3">
        <v>5730.75</v>
      </c>
      <c r="L18" s="3">
        <f t="shared" si="3"/>
        <v>8023.3084716932717</v>
      </c>
      <c r="M18" s="3">
        <f t="shared" si="4"/>
        <v>84.965000000000003</v>
      </c>
      <c r="N18" s="3">
        <v>139693.01727272727</v>
      </c>
      <c r="O18" s="3">
        <f>N18+'Zał 6.1. 25-01-2024'!L18</f>
        <v>153153.50499870713</v>
      </c>
      <c r="P18" s="3">
        <f t="shared" si="5"/>
        <v>162580.81347169328</v>
      </c>
      <c r="Q18" s="3">
        <f t="shared" si="6"/>
        <v>9427.3084729861584</v>
      </c>
      <c r="R18" s="3">
        <f t="shared" si="7"/>
        <v>-8262.7315270138388</v>
      </c>
      <c r="S18" s="169">
        <v>4.0999999999999996</v>
      </c>
      <c r="T18" s="33">
        <f t="shared" si="1"/>
        <v>0.56999999999999984</v>
      </c>
      <c r="U18" s="2">
        <v>139693.01727272727</v>
      </c>
      <c r="V18" s="2">
        <f t="shared" si="8"/>
        <v>130265.70879974111</v>
      </c>
    </row>
    <row r="19" spans="1:22" ht="15.6" x14ac:dyDescent="0.3">
      <c r="A19" s="7">
        <v>17</v>
      </c>
      <c r="B19" s="19" t="s">
        <v>18</v>
      </c>
      <c r="C19" s="20">
        <f>1236.91+216.09</f>
        <v>1453</v>
      </c>
      <c r="D19" s="20">
        <v>35.11</v>
      </c>
      <c r="E19" s="20">
        <f t="shared" si="0"/>
        <v>1417.89</v>
      </c>
      <c r="F19" s="25">
        <v>3.83</v>
      </c>
      <c r="G19" s="3">
        <v>-17166.72</v>
      </c>
      <c r="H19" s="3">
        <v>6204.57</v>
      </c>
      <c r="I19" s="3">
        <v>2694.77</v>
      </c>
      <c r="J19" s="3">
        <f t="shared" si="2"/>
        <v>-8267.380000000001</v>
      </c>
      <c r="K19" s="3">
        <v>842.23</v>
      </c>
      <c r="L19" s="3">
        <f t="shared" si="3"/>
        <v>3674.3544617193156</v>
      </c>
      <c r="M19" s="3">
        <f t="shared" si="4"/>
        <v>26.398533333333337</v>
      </c>
      <c r="N19" s="3">
        <v>57933.436363636356</v>
      </c>
      <c r="O19" s="3">
        <f>N19+'Zał 6.1. 25-01-2024'!L19</f>
        <v>64028.007634662092</v>
      </c>
      <c r="P19" s="3">
        <f t="shared" si="5"/>
        <v>73662.192995052654</v>
      </c>
      <c r="Q19" s="3">
        <f t="shared" si="6"/>
        <v>9634.185360390562</v>
      </c>
      <c r="R19" s="3">
        <f t="shared" si="7"/>
        <v>1366.805360390561</v>
      </c>
      <c r="S19" s="169">
        <v>4.0600000000000005</v>
      </c>
      <c r="T19" s="33">
        <f t="shared" si="1"/>
        <v>0.23000000000000043</v>
      </c>
      <c r="U19" s="2">
        <v>57933.436363636356</v>
      </c>
      <c r="V19" s="2">
        <f t="shared" si="8"/>
        <v>48299.251003245794</v>
      </c>
    </row>
    <row r="20" spans="1:22" ht="15.6" x14ac:dyDescent="0.3">
      <c r="A20" s="7">
        <v>18</v>
      </c>
      <c r="B20" s="19" t="s">
        <v>19</v>
      </c>
      <c r="C20" s="20">
        <f>1304.25+75.4*0.6+23.5</f>
        <v>1372.99</v>
      </c>
      <c r="D20" s="20">
        <v>132.4</v>
      </c>
      <c r="E20" s="20">
        <f t="shared" si="0"/>
        <v>1240.5899999999999</v>
      </c>
      <c r="F20" s="25">
        <v>4.26</v>
      </c>
      <c r="G20" s="3">
        <v>-35875.85</v>
      </c>
      <c r="H20" s="3">
        <v>1825.99</v>
      </c>
      <c r="I20" s="3">
        <v>2357.8000000000002</v>
      </c>
      <c r="J20" s="3">
        <f t="shared" si="2"/>
        <v>-31692.06</v>
      </c>
      <c r="K20" s="3">
        <v>0</v>
      </c>
      <c r="L20" s="3">
        <f t="shared" si="3"/>
        <v>3214.8949507115253</v>
      </c>
      <c r="M20" s="3">
        <f t="shared" si="4"/>
        <v>99.551333333333332</v>
      </c>
      <c r="N20" s="3">
        <v>64681.648181818186</v>
      </c>
      <c r="O20" s="3">
        <f>N20+'Zał 6.1. 25-01-2024'!L20</f>
        <v>70440.619557871614</v>
      </c>
      <c r="P20" s="3">
        <f t="shared" si="5"/>
        <v>77153.846284044863</v>
      </c>
      <c r="Q20" s="3">
        <f t="shared" si="6"/>
        <v>6713.2267261732486</v>
      </c>
      <c r="R20" s="3">
        <f t="shared" si="7"/>
        <v>-24978.833273826753</v>
      </c>
      <c r="S20" s="169">
        <v>4.6399999999999997</v>
      </c>
      <c r="T20" s="33">
        <f t="shared" si="1"/>
        <v>0.37999999999999989</v>
      </c>
      <c r="U20" s="2">
        <v>64681.648181818186</v>
      </c>
      <c r="V20" s="2">
        <f t="shared" si="8"/>
        <v>57968.421455644937</v>
      </c>
    </row>
    <row r="21" spans="1:22" ht="15.6" x14ac:dyDescent="0.3">
      <c r="A21" s="7">
        <v>19</v>
      </c>
      <c r="B21" s="19" t="s">
        <v>20</v>
      </c>
      <c r="C21" s="20">
        <f>4083.6+625.9*0.6+161</f>
        <v>4620.1399999999994</v>
      </c>
      <c r="D21" s="20">
        <v>475.4</v>
      </c>
      <c r="E21" s="20">
        <f t="shared" si="0"/>
        <v>4144.74</v>
      </c>
      <c r="F21" s="25">
        <v>3.97</v>
      </c>
      <c r="G21" s="3">
        <v>-38831.81</v>
      </c>
      <c r="H21" s="3">
        <v>16516.689999999999</v>
      </c>
      <c r="I21" s="3">
        <v>7877.28</v>
      </c>
      <c r="J21" s="3">
        <f t="shared" si="2"/>
        <v>-14437.84</v>
      </c>
      <c r="K21" s="3">
        <v>0</v>
      </c>
      <c r="L21" s="3">
        <f t="shared" si="3"/>
        <v>10740.77954683827</v>
      </c>
      <c r="M21" s="3">
        <f t="shared" si="4"/>
        <v>357.4546666666667</v>
      </c>
      <c r="N21" s="3">
        <v>186899.41090909089</v>
      </c>
      <c r="O21" s="3">
        <f>N21+'Zał 6.1. 25-01-2024'!L21</f>
        <v>206278.46976120159</v>
      </c>
      <c r="P21" s="3">
        <f t="shared" si="5"/>
        <v>238640.13421350493</v>
      </c>
      <c r="Q21" s="3">
        <f t="shared" si="6"/>
        <v>32361.664452303346</v>
      </c>
      <c r="R21" s="3">
        <f t="shared" si="7"/>
        <v>17923.824452303346</v>
      </c>
      <c r="S21" s="169">
        <v>4.2</v>
      </c>
      <c r="T21" s="33">
        <f t="shared" si="1"/>
        <v>0.22999999999999998</v>
      </c>
      <c r="U21" s="2">
        <v>186899.41090909089</v>
      </c>
      <c r="V21" s="2">
        <f t="shared" si="8"/>
        <v>154537.74645678754</v>
      </c>
    </row>
    <row r="22" spans="1:22" ht="15.6" x14ac:dyDescent="0.3">
      <c r="A22" s="7">
        <v>20</v>
      </c>
      <c r="B22" s="19" t="s">
        <v>21</v>
      </c>
      <c r="C22" s="20">
        <f>4177.7+643.6*0.6+109.1</f>
        <v>4672.96</v>
      </c>
      <c r="D22" s="20">
        <v>165.6</v>
      </c>
      <c r="E22" s="20">
        <f t="shared" si="0"/>
        <v>4507.3599999999997</v>
      </c>
      <c r="F22" s="25">
        <v>3.71</v>
      </c>
      <c r="G22" s="3">
        <v>-26388.35</v>
      </c>
      <c r="H22" s="3">
        <v>9720.48</v>
      </c>
      <c r="I22" s="3">
        <v>8566.4599999999991</v>
      </c>
      <c r="J22" s="3">
        <f t="shared" si="2"/>
        <v>-8101.41</v>
      </c>
      <c r="K22" s="3">
        <v>699.84</v>
      </c>
      <c r="L22" s="3">
        <f t="shared" si="3"/>
        <v>11680.48179095358</v>
      </c>
      <c r="M22" s="3">
        <f t="shared" si="4"/>
        <v>124.51533333333333</v>
      </c>
      <c r="N22" s="3">
        <v>187368.81727272726</v>
      </c>
      <c r="O22" s="3">
        <f>N22+'Zał 6.1. 25-01-2024'!L22</f>
        <v>206969.42826147637</v>
      </c>
      <c r="P22" s="3">
        <f t="shared" si="5"/>
        <v>228068.47712428693</v>
      </c>
      <c r="Q22" s="3">
        <f t="shared" si="6"/>
        <v>21099.048862810567</v>
      </c>
      <c r="R22" s="3">
        <f t="shared" si="7"/>
        <v>12997.638862810567</v>
      </c>
      <c r="S22" s="169">
        <v>3.94</v>
      </c>
      <c r="T22" s="33">
        <f t="shared" si="1"/>
        <v>0.22999999999999998</v>
      </c>
      <c r="U22" s="2">
        <v>187368.81727272726</v>
      </c>
      <c r="V22" s="2">
        <f t="shared" si="8"/>
        <v>166269.76840991669</v>
      </c>
    </row>
    <row r="23" spans="1:22" ht="15.6" x14ac:dyDescent="0.3">
      <c r="A23" s="7">
        <v>21</v>
      </c>
      <c r="B23" s="19" t="s">
        <v>22</v>
      </c>
      <c r="C23" s="20">
        <f>2637.6+388.5*0.6+286.7</f>
        <v>3157.3999999999996</v>
      </c>
      <c r="D23" s="20">
        <v>78.900000000000006</v>
      </c>
      <c r="E23" s="20">
        <f t="shared" si="0"/>
        <v>3078.4999999999995</v>
      </c>
      <c r="F23" s="25">
        <v>3.87</v>
      </c>
      <c r="G23" s="3">
        <v>-33588.480000000003</v>
      </c>
      <c r="H23" s="3">
        <v>4082.77</v>
      </c>
      <c r="I23" s="3">
        <v>5880.8700000000008</v>
      </c>
      <c r="J23" s="3">
        <f t="shared" si="2"/>
        <v>-23624.840000000004</v>
      </c>
      <c r="K23" s="3">
        <v>0</v>
      </c>
      <c r="L23" s="3">
        <f t="shared" si="3"/>
        <v>7977.6994057387456</v>
      </c>
      <c r="M23" s="3">
        <f t="shared" si="4"/>
        <v>59.324666666666666</v>
      </c>
      <c r="N23" s="3">
        <v>128058.70818181816</v>
      </c>
      <c r="O23" s="3">
        <f>N23+'Zał 6.1. 25-01-2024'!L23</f>
        <v>141302.3415824628</v>
      </c>
      <c r="P23" s="3">
        <f t="shared" si="5"/>
        <v>161960.27407240539</v>
      </c>
      <c r="Q23" s="3">
        <f t="shared" si="6"/>
        <v>20657.932489942585</v>
      </c>
      <c r="R23" s="3">
        <f t="shared" si="7"/>
        <v>-2966.9075100574191</v>
      </c>
      <c r="S23" s="169">
        <v>4.2</v>
      </c>
      <c r="T23" s="33">
        <f t="shared" si="1"/>
        <v>0.33000000000000007</v>
      </c>
      <c r="U23" s="2">
        <v>128058.70818181816</v>
      </c>
      <c r="V23" s="2">
        <f t="shared" si="8"/>
        <v>107400.77569187558</v>
      </c>
    </row>
    <row r="24" spans="1:22" ht="15.6" x14ac:dyDescent="0.3">
      <c r="A24" s="7">
        <v>22</v>
      </c>
      <c r="B24" s="19" t="s">
        <v>28</v>
      </c>
      <c r="C24" s="20">
        <f>5765.6+440.9*0.6+75.1</f>
        <v>6105.2400000000007</v>
      </c>
      <c r="D24" s="20">
        <v>809.7</v>
      </c>
      <c r="E24" s="20">
        <f t="shared" si="0"/>
        <v>5295.5400000000009</v>
      </c>
      <c r="F24" s="25">
        <v>4.04</v>
      </c>
      <c r="G24" s="3">
        <v>-70529.709999999992</v>
      </c>
      <c r="H24" s="3">
        <v>23755.73</v>
      </c>
      <c r="I24" s="3">
        <v>10106.619999999999</v>
      </c>
      <c r="J24" s="3">
        <f t="shared" si="2"/>
        <v>-36667.360000000001</v>
      </c>
      <c r="K24" s="3">
        <v>0</v>
      </c>
      <c r="L24" s="3">
        <f t="shared" si="3"/>
        <v>13722.990518455666</v>
      </c>
      <c r="M24" s="3">
        <f t="shared" si="4"/>
        <v>608.81733333333341</v>
      </c>
      <c r="N24" s="3">
        <v>252350.55727272728</v>
      </c>
      <c r="O24" s="3">
        <f>N24+'Zał 6.1. 25-01-2024'!L24</f>
        <v>277958.83002339292</v>
      </c>
      <c r="P24" s="3">
        <f t="shared" si="5"/>
        <v>320143.27785178897</v>
      </c>
      <c r="Q24" s="3">
        <f t="shared" si="6"/>
        <v>42184.447828396049</v>
      </c>
      <c r="R24" s="3">
        <f t="shared" si="7"/>
        <v>5517.0878283960483</v>
      </c>
      <c r="S24" s="169">
        <v>4.2699999999999996</v>
      </c>
      <c r="T24" s="33">
        <f t="shared" si="1"/>
        <v>0.22999999999999954</v>
      </c>
      <c r="U24" s="2">
        <v>252350.55727272728</v>
      </c>
      <c r="V24" s="2">
        <f t="shared" si="8"/>
        <v>210166.10944433123</v>
      </c>
    </row>
    <row r="25" spans="1:22" ht="15.6" x14ac:dyDescent="0.3">
      <c r="A25" s="7">
        <v>23</v>
      </c>
      <c r="B25" s="19" t="s">
        <v>23</v>
      </c>
      <c r="C25" s="20">
        <f>4968.38+777.86*0.6+149.35</f>
        <v>5584.4460000000008</v>
      </c>
      <c r="D25" s="20">
        <v>477.05</v>
      </c>
      <c r="E25" s="20">
        <f t="shared" si="0"/>
        <v>5107.3960000000006</v>
      </c>
      <c r="F25" s="25">
        <v>4.01</v>
      </c>
      <c r="G25" s="3">
        <v>-45620.79</v>
      </c>
      <c r="H25" s="3">
        <v>7181.84</v>
      </c>
      <c r="I25" s="3">
        <v>9706.85</v>
      </c>
      <c r="J25" s="3">
        <f t="shared" si="2"/>
        <v>-28732.1</v>
      </c>
      <c r="K25" s="3">
        <v>751.03</v>
      </c>
      <c r="L25" s="3">
        <f t="shared" si="3"/>
        <v>13235.429603401806</v>
      </c>
      <c r="M25" s="3">
        <f t="shared" si="4"/>
        <v>358.69599999999997</v>
      </c>
      <c r="N25" s="3">
        <v>243105.65181818182</v>
      </c>
      <c r="O25" s="3">
        <f>N25+'Zał 6.1. 25-01-2024'!L25</f>
        <v>266529.46747970599</v>
      </c>
      <c r="P25" s="3">
        <f t="shared" si="5"/>
        <v>295968.76560340181</v>
      </c>
      <c r="Q25" s="3">
        <f t="shared" si="6"/>
        <v>29439.298123695829</v>
      </c>
      <c r="R25" s="3">
        <f t="shared" si="7"/>
        <v>707.19812369583087</v>
      </c>
      <c r="S25" s="169">
        <v>4.34</v>
      </c>
      <c r="T25" s="33">
        <f t="shared" si="1"/>
        <v>0.33000000000000007</v>
      </c>
      <c r="U25" s="2">
        <v>243105.65181818182</v>
      </c>
      <c r="V25" s="2">
        <f t="shared" si="8"/>
        <v>213666.353694486</v>
      </c>
    </row>
    <row r="26" spans="1:22" ht="15.6" x14ac:dyDescent="0.3">
      <c r="A26" s="7">
        <v>24</v>
      </c>
      <c r="B26" s="19" t="s">
        <v>29</v>
      </c>
      <c r="C26" s="20">
        <f>5503.34+1009.29*0.6</f>
        <v>6108.9139999999998</v>
      </c>
      <c r="D26" s="20">
        <v>1929.55</v>
      </c>
      <c r="E26" s="20">
        <f t="shared" si="0"/>
        <v>4179.3639999999996</v>
      </c>
      <c r="F26" s="25">
        <v>3.24</v>
      </c>
      <c r="G26" s="3">
        <v>-30045.469999999998</v>
      </c>
      <c r="H26" s="3">
        <v>12103.2</v>
      </c>
      <c r="I26" s="3">
        <v>7996.3600000000006</v>
      </c>
      <c r="J26" s="3">
        <f t="shared" si="2"/>
        <v>-9945.9099999999962</v>
      </c>
      <c r="K26" s="3">
        <v>1435.91</v>
      </c>
      <c r="L26" s="3">
        <f t="shared" si="3"/>
        <v>10830.505018406986</v>
      </c>
      <c r="M26" s="3">
        <f t="shared" si="4"/>
        <v>1450.836</v>
      </c>
      <c r="N26" s="3">
        <v>219060.91818181818</v>
      </c>
      <c r="O26" s="3">
        <f>N26+'Zał 6.1. 25-01-2024'!L26</f>
        <v>244684.60143134807</v>
      </c>
      <c r="P26" s="3">
        <f t="shared" si="5"/>
        <v>261067.18101840699</v>
      </c>
      <c r="Q26" s="3">
        <f t="shared" si="6"/>
        <v>16382.579587058921</v>
      </c>
      <c r="R26" s="3">
        <f t="shared" si="7"/>
        <v>6436.6695870589247</v>
      </c>
      <c r="S26" s="169">
        <v>3.47</v>
      </c>
      <c r="T26" s="33">
        <f t="shared" si="1"/>
        <v>0.22999999999999998</v>
      </c>
      <c r="U26" s="2">
        <v>219060.91818181818</v>
      </c>
      <c r="V26" s="2">
        <f t="shared" si="8"/>
        <v>202678.33859475926</v>
      </c>
    </row>
    <row r="27" spans="1:22" ht="15.6" x14ac:dyDescent="0.3">
      <c r="A27" s="7">
        <v>25</v>
      </c>
      <c r="B27" s="19" t="s">
        <v>30</v>
      </c>
      <c r="C27" s="20">
        <f>7380.28+2363.57*0.6</f>
        <v>8798.4220000000005</v>
      </c>
      <c r="D27" s="20">
        <v>2122.5700000000002</v>
      </c>
      <c r="E27" s="20">
        <f t="shared" si="0"/>
        <v>6675.8520000000008</v>
      </c>
      <c r="F27" s="25">
        <v>2.8</v>
      </c>
      <c r="G27" s="3">
        <v>11040.98</v>
      </c>
      <c r="H27" s="3">
        <v>-14641.1</v>
      </c>
      <c r="I27" s="3">
        <v>12863.95</v>
      </c>
      <c r="J27" s="3">
        <f t="shared" si="2"/>
        <v>9263.83</v>
      </c>
      <c r="K27" s="3">
        <v>11507.23</v>
      </c>
      <c r="L27" s="3">
        <f t="shared" si="3"/>
        <v>17299.964441513668</v>
      </c>
      <c r="M27" s="3">
        <f t="shared" si="4"/>
        <v>1595.9690666666665</v>
      </c>
      <c r="N27" s="3">
        <v>312054.21181818179</v>
      </c>
      <c r="O27" s="3">
        <f>N27+'Zał 6.1. 25-01-2024'!L27</f>
        <v>348958.96746275225</v>
      </c>
      <c r="P27" s="3">
        <f t="shared" si="5"/>
        <v>340195.6035081803</v>
      </c>
      <c r="Q27" s="3">
        <f t="shared" si="6"/>
        <v>-8763.3639545719489</v>
      </c>
      <c r="R27" s="3">
        <f t="shared" si="7"/>
        <v>500.46604542805107</v>
      </c>
      <c r="S27" s="169">
        <v>3.03</v>
      </c>
      <c r="T27" s="33">
        <f t="shared" si="1"/>
        <v>0.22999999999999998</v>
      </c>
      <c r="U27" s="2">
        <v>312054.21181818179</v>
      </c>
      <c r="V27" s="2">
        <f t="shared" si="8"/>
        <v>320817.57577275374</v>
      </c>
    </row>
    <row r="28" spans="1:22" ht="15.6" x14ac:dyDescent="0.3">
      <c r="A28" s="7">
        <v>26</v>
      </c>
      <c r="B28" s="19" t="s">
        <v>24</v>
      </c>
      <c r="C28" s="20">
        <f>312.2*0.6</f>
        <v>187.32</v>
      </c>
      <c r="D28" s="20">
        <v>31.23</v>
      </c>
      <c r="E28" s="20">
        <f t="shared" si="0"/>
        <v>156.09</v>
      </c>
      <c r="F28" s="25">
        <v>1.65</v>
      </c>
      <c r="G28" s="3">
        <v>1898.29</v>
      </c>
      <c r="H28" s="3">
        <v>2102.2800000000002</v>
      </c>
      <c r="I28" s="3">
        <v>296.65999999999997</v>
      </c>
      <c r="J28" s="3">
        <f t="shared" si="2"/>
        <v>4297.2300000000005</v>
      </c>
      <c r="K28" s="3">
        <v>0</v>
      </c>
      <c r="L28" s="3">
        <f t="shared" si="3"/>
        <v>404.49540368418417</v>
      </c>
      <c r="M28" s="3">
        <f t="shared" si="4"/>
        <v>23.481933333333334</v>
      </c>
      <c r="N28" s="3">
        <v>3455.7163636363639</v>
      </c>
      <c r="O28" s="3">
        <f>N28+'Zał 6.1. 25-01-2024'!L28</f>
        <v>4241.425304096475</v>
      </c>
      <c r="P28" s="3">
        <f t="shared" si="5"/>
        <v>4438.4973370175176</v>
      </c>
      <c r="Q28" s="3">
        <f t="shared" si="6"/>
        <v>197.07203292104259</v>
      </c>
      <c r="R28" s="3">
        <f t="shared" si="7"/>
        <v>4494.3020329210431</v>
      </c>
      <c r="S28" s="169">
        <v>1.88</v>
      </c>
      <c r="T28" s="33">
        <f t="shared" si="1"/>
        <v>0.22999999999999998</v>
      </c>
      <c r="U28" s="2">
        <v>3455.7163636363639</v>
      </c>
      <c r="V28" s="2">
        <f t="shared" si="8"/>
        <v>3258.6443307153213</v>
      </c>
    </row>
    <row r="29" spans="1:22" ht="15.6" x14ac:dyDescent="0.3">
      <c r="A29" s="7">
        <v>27</v>
      </c>
      <c r="B29" s="19" t="s">
        <v>25</v>
      </c>
      <c r="C29" s="20">
        <f>4246.69+1830.5*0.6</f>
        <v>5344.99</v>
      </c>
      <c r="D29" s="20">
        <v>1098.01</v>
      </c>
      <c r="E29" s="20">
        <f t="shared" si="0"/>
        <v>4246.9799999999996</v>
      </c>
      <c r="F29" s="25">
        <v>3.17</v>
      </c>
      <c r="G29" s="3">
        <v>-23489.46</v>
      </c>
      <c r="H29" s="3">
        <v>-13355.19</v>
      </c>
      <c r="I29" s="3">
        <v>8241.2800000000007</v>
      </c>
      <c r="J29" s="3">
        <f t="shared" si="2"/>
        <v>-28603.370000000003</v>
      </c>
      <c r="K29" s="3">
        <v>8630.18</v>
      </c>
      <c r="L29" s="3">
        <f t="shared" si="3"/>
        <v>11005.726757246821</v>
      </c>
      <c r="M29" s="3">
        <f t="shared" si="4"/>
        <v>825.59820000000002</v>
      </c>
      <c r="N29" s="3">
        <v>219088.70672727271</v>
      </c>
      <c r="O29" s="3">
        <f>N29+'Zał 6.1. 25-01-2024'!L29</f>
        <v>241508.13033217285</v>
      </c>
      <c r="P29" s="3">
        <f t="shared" si="5"/>
        <v>258580.80495724682</v>
      </c>
      <c r="Q29" s="3">
        <f t="shared" si="6"/>
        <v>17072.674625073967</v>
      </c>
      <c r="R29" s="3">
        <f t="shared" si="7"/>
        <v>-11530.695374926036</v>
      </c>
      <c r="S29" s="169">
        <v>4.0999999999999996</v>
      </c>
      <c r="T29" s="33">
        <f t="shared" si="1"/>
        <v>0.92999999999999972</v>
      </c>
      <c r="U29" s="2">
        <v>219088.70672727271</v>
      </c>
      <c r="V29" s="2">
        <f t="shared" si="8"/>
        <v>202016.03210219875</v>
      </c>
    </row>
    <row r="30" spans="1:22" ht="15.6" x14ac:dyDescent="0.3">
      <c r="A30" s="7">
        <v>28</v>
      </c>
      <c r="B30" s="19" t="s">
        <v>26</v>
      </c>
      <c r="C30" s="20">
        <f>3067.13+1433.95*0.6</f>
        <v>3927.5</v>
      </c>
      <c r="D30" s="20">
        <v>1192.67</v>
      </c>
      <c r="E30" s="20">
        <f t="shared" si="0"/>
        <v>2734.83</v>
      </c>
      <c r="F30" s="25">
        <v>3.41</v>
      </c>
      <c r="G30" s="3">
        <v>-8398.3599999999988</v>
      </c>
      <c r="H30" s="3">
        <v>-4508.12</v>
      </c>
      <c r="I30" s="3">
        <v>5364.8600000000006</v>
      </c>
      <c r="J30" s="3">
        <f t="shared" si="2"/>
        <v>-7541.619999999999</v>
      </c>
      <c r="K30" s="3">
        <v>1701</v>
      </c>
      <c r="L30" s="3">
        <f t="shared" si="3"/>
        <v>7087.1046502506078</v>
      </c>
      <c r="M30" s="3">
        <f t="shared" si="4"/>
        <v>896.77273333333335</v>
      </c>
      <c r="N30" s="3">
        <v>161557.66963636366</v>
      </c>
      <c r="O30" s="3">
        <f>N30+'Zał 6.1. 25-01-2024'!L30</f>
        <v>178031.46775539572</v>
      </c>
      <c r="P30" s="3">
        <f t="shared" si="5"/>
        <v>183869.50738358396</v>
      </c>
      <c r="Q30" s="3">
        <f t="shared" si="6"/>
        <v>5838.0396281882422</v>
      </c>
      <c r="R30" s="3">
        <f t="shared" si="7"/>
        <v>-1703.5803718117568</v>
      </c>
      <c r="S30" s="169">
        <v>3.9000000000000004</v>
      </c>
      <c r="T30" s="33">
        <f t="shared" si="1"/>
        <v>0.49000000000000021</v>
      </c>
      <c r="U30" s="2">
        <v>161557.66963636366</v>
      </c>
      <c r="V30" s="2">
        <f t="shared" si="8"/>
        <v>155719.63000817542</v>
      </c>
    </row>
    <row r="31" spans="1:22" ht="15.6" x14ac:dyDescent="0.3">
      <c r="A31" s="7">
        <v>29</v>
      </c>
      <c r="B31" s="19" t="s">
        <v>33</v>
      </c>
      <c r="C31" s="22">
        <f>5704.86+2678.54*0.6</f>
        <v>7311.9839999999995</v>
      </c>
      <c r="D31" s="22">
        <v>1347.08</v>
      </c>
      <c r="E31" s="20">
        <f t="shared" si="0"/>
        <v>5964.9039999999995</v>
      </c>
      <c r="F31" s="27">
        <v>3.47</v>
      </c>
      <c r="G31" s="3">
        <v>-30504</v>
      </c>
      <c r="H31" s="3">
        <v>-8962.08</v>
      </c>
      <c r="I31" s="3">
        <v>11504.53</v>
      </c>
      <c r="J31" s="3">
        <f t="shared" si="2"/>
        <v>-27961.550000000003</v>
      </c>
      <c r="K31" s="3">
        <v>3962.33</v>
      </c>
      <c r="L31" s="3">
        <f t="shared" si="3"/>
        <v>15457.596587977479</v>
      </c>
      <c r="M31" s="3">
        <f t="shared" si="4"/>
        <v>1012.8756</v>
      </c>
      <c r="N31" s="3">
        <v>314440.66309090907</v>
      </c>
      <c r="O31" s="3">
        <f>N31+'Zał 6.1. 25-01-2024'!L31</f>
        <v>345110.59263020701</v>
      </c>
      <c r="P31" s="3">
        <f>ROUND(C31*F31*5+S31*C31*7,2)+K31+L31+M31</f>
        <v>359708.86218797753</v>
      </c>
      <c r="Q31" s="3">
        <f t="shared" si="6"/>
        <v>14598.269557770516</v>
      </c>
      <c r="R31" s="3">
        <f t="shared" si="7"/>
        <v>-13363.280442229487</v>
      </c>
      <c r="S31" s="169">
        <v>4.1500000000000004</v>
      </c>
      <c r="T31" s="33">
        <f t="shared" si="1"/>
        <v>0.68000000000000016</v>
      </c>
      <c r="U31" s="2">
        <v>314440.66309090907</v>
      </c>
      <c r="V31" s="2">
        <f t="shared" si="8"/>
        <v>299842.39353313856</v>
      </c>
    </row>
    <row r="32" spans="1:22" ht="15.6" x14ac:dyDescent="0.3">
      <c r="A32" s="15"/>
      <c r="B32" s="16" t="s">
        <v>27</v>
      </c>
      <c r="C32" s="17">
        <f>SUM(C3:C31)</f>
        <v>110005.27800000001</v>
      </c>
      <c r="D32" s="17">
        <f>SUM(D3:D31)</f>
        <v>13533.23</v>
      </c>
      <c r="E32" s="17">
        <f>SUM(E3:E31)</f>
        <v>96472.04800000001</v>
      </c>
      <c r="F32" s="28">
        <f>SUM(F3:F31)/29</f>
        <v>3.5393103448275864</v>
      </c>
      <c r="G32" s="29">
        <f t="shared" ref="G32:R32" si="9">SUM(G3:G31)</f>
        <v>-649373.96</v>
      </c>
      <c r="H32" s="29">
        <f t="shared" si="9"/>
        <v>156598.47000000003</v>
      </c>
      <c r="I32" s="29">
        <f t="shared" si="9"/>
        <v>184330.63000000003</v>
      </c>
      <c r="J32" s="29">
        <f t="shared" si="9"/>
        <v>-308444.86</v>
      </c>
      <c r="K32" s="29">
        <f t="shared" si="9"/>
        <v>43643.65</v>
      </c>
      <c r="L32" s="29">
        <f t="shared" si="9"/>
        <v>249999.99999999994</v>
      </c>
      <c r="M32" s="75">
        <f t="shared" si="9"/>
        <v>10175.686933333332</v>
      </c>
      <c r="N32" s="64">
        <f t="shared" si="9"/>
        <v>4328107.8885454545</v>
      </c>
      <c r="O32" s="68">
        <f t="shared" si="9"/>
        <v>4789522.2085454548</v>
      </c>
      <c r="P32" s="75">
        <f t="shared" si="9"/>
        <v>5195217.606933332</v>
      </c>
      <c r="Q32" s="64">
        <f t="shared" si="9"/>
        <v>405695.39838787878</v>
      </c>
      <c r="R32" s="64">
        <f t="shared" si="9"/>
        <v>97250.538387878842</v>
      </c>
      <c r="S32" s="78">
        <f>SUM(S3:S31)/29</f>
        <v>3.8641379310344828</v>
      </c>
      <c r="T32" s="29">
        <f>SUM(T3:T31)/29</f>
        <v>0.32482758620689656</v>
      </c>
      <c r="U32" s="2">
        <v>4328107.8885454545</v>
      </c>
      <c r="V32" s="2">
        <f t="shared" si="8"/>
        <v>3922412.4901575758</v>
      </c>
    </row>
    <row r="33" spans="1:20" ht="15.6" x14ac:dyDescent="0.3">
      <c r="A33" s="34"/>
      <c r="B33" s="35"/>
      <c r="C33" s="36"/>
      <c r="D33" s="36"/>
      <c r="E33" s="36"/>
      <c r="F33" s="37"/>
      <c r="G33" s="38"/>
      <c r="H33" s="38"/>
      <c r="I33" s="38"/>
      <c r="J33" s="38"/>
      <c r="K33" s="38"/>
      <c r="L33" s="38"/>
      <c r="M33" s="38"/>
      <c r="N33" s="39"/>
      <c r="O33" s="69"/>
      <c r="P33" s="8"/>
      <c r="Q33" s="39"/>
      <c r="R33" s="39"/>
      <c r="S33" s="38"/>
      <c r="T33" s="40"/>
    </row>
    <row r="34" spans="1:20" ht="15.6" x14ac:dyDescent="0.3">
      <c r="A34" s="34"/>
      <c r="B34" s="35"/>
      <c r="C34" s="36"/>
      <c r="D34" s="36"/>
      <c r="E34" s="36">
        <f>O35/E32/12</f>
        <v>0</v>
      </c>
      <c r="F34" s="37"/>
      <c r="G34" s="38"/>
      <c r="H34" s="38"/>
      <c r="I34" s="38"/>
      <c r="J34" s="38"/>
      <c r="K34" s="38"/>
      <c r="L34" s="38">
        <v>250000</v>
      </c>
      <c r="M34" s="38"/>
      <c r="N34" s="39"/>
      <c r="O34" s="39"/>
      <c r="P34" s="8"/>
      <c r="Q34" s="39"/>
      <c r="R34" s="39"/>
      <c r="S34" s="38"/>
      <c r="T34" s="40"/>
    </row>
    <row r="35" spans="1:20" ht="15.6" x14ac:dyDescent="0.3">
      <c r="A35" s="34"/>
      <c r="B35" s="41"/>
      <c r="C35" s="36"/>
      <c r="D35" s="36"/>
      <c r="E35" s="36"/>
      <c r="F35" s="37"/>
      <c r="G35" s="38"/>
      <c r="H35" s="38"/>
      <c r="I35" s="38"/>
      <c r="J35" s="38"/>
      <c r="K35" s="38"/>
      <c r="L35" s="38"/>
      <c r="M35" s="38"/>
      <c r="N35" s="39"/>
      <c r="O35" s="39"/>
      <c r="P35" s="39"/>
      <c r="Q35" s="39"/>
      <c r="R35" s="39"/>
      <c r="S35" s="38"/>
      <c r="T35" s="40"/>
    </row>
    <row r="36" spans="1:20" ht="15.6" x14ac:dyDescent="0.3">
      <c r="A36" s="34"/>
      <c r="B36" s="35"/>
      <c r="C36" s="36"/>
      <c r="D36" s="36"/>
      <c r="E36" s="36"/>
      <c r="F36" s="37"/>
      <c r="G36" s="38"/>
      <c r="H36" s="38"/>
      <c r="I36" s="38"/>
      <c r="J36" s="38"/>
      <c r="K36" s="38"/>
      <c r="L36" s="38"/>
      <c r="M36" s="38"/>
      <c r="N36" s="39"/>
      <c r="O36" s="39"/>
      <c r="P36" s="39"/>
      <c r="Q36" s="39"/>
      <c r="R36" s="39"/>
      <c r="S36" s="38"/>
      <c r="T36" s="40"/>
    </row>
    <row r="37" spans="1:20" ht="15.6" x14ac:dyDescent="0.3">
      <c r="A37" s="34"/>
      <c r="B37" s="35"/>
      <c r="C37" s="36"/>
      <c r="D37" s="36"/>
      <c r="E37" s="36"/>
      <c r="F37" s="37"/>
      <c r="G37" s="38"/>
      <c r="H37" s="38"/>
      <c r="I37" s="38"/>
      <c r="J37" s="38"/>
      <c r="K37" s="38"/>
      <c r="L37" s="38"/>
      <c r="M37" s="38"/>
      <c r="N37" s="39"/>
      <c r="O37" s="39"/>
      <c r="P37" s="39"/>
      <c r="Q37" s="39"/>
      <c r="R37" s="39"/>
      <c r="S37" s="38"/>
      <c r="T37" s="40"/>
    </row>
    <row r="38" spans="1:20" ht="15.6" x14ac:dyDescent="0.3">
      <c r="A38" s="34"/>
      <c r="B38" s="35"/>
      <c r="C38" s="36"/>
      <c r="D38" s="36"/>
      <c r="E38" s="36"/>
      <c r="F38" s="37"/>
      <c r="G38" s="38"/>
      <c r="H38" s="38"/>
      <c r="I38" s="38"/>
      <c r="J38" s="38"/>
      <c r="K38" s="38"/>
      <c r="L38" s="38"/>
      <c r="M38" s="38"/>
      <c r="N38" s="39"/>
      <c r="O38" s="39"/>
      <c r="P38" s="39"/>
      <c r="Q38" s="39"/>
      <c r="R38" s="39"/>
      <c r="S38" s="38"/>
      <c r="T38" s="40"/>
    </row>
    <row r="39" spans="1:20" ht="15.6" x14ac:dyDescent="0.3">
      <c r="D39" s="4"/>
      <c r="E39" s="4"/>
      <c r="G39" s="4"/>
      <c r="H39" s="4"/>
      <c r="I39" s="4"/>
      <c r="J39" s="4"/>
      <c r="K39" s="4"/>
      <c r="L39" s="4"/>
      <c r="M39" s="8"/>
    </row>
    <row r="40" spans="1:20" ht="15.6" x14ac:dyDescent="0.3">
      <c r="H40" s="2"/>
      <c r="I40" s="2"/>
      <c r="J40" s="2"/>
      <c r="K40" s="2"/>
      <c r="L40" s="2"/>
      <c r="M40" s="8"/>
      <c r="R40" s="2"/>
      <c r="S40" s="9"/>
    </row>
    <row r="41" spans="1:20" ht="15.6" x14ac:dyDescent="0.3">
      <c r="D41" s="1">
        <f>D32/C32</f>
        <v>0.12302346074703796</v>
      </c>
      <c r="H41" s="2"/>
      <c r="J41" s="2"/>
      <c r="K41" s="2"/>
      <c r="L41" s="2"/>
      <c r="M41" s="8"/>
      <c r="N41" s="31"/>
      <c r="O41" s="31"/>
      <c r="P41" s="31"/>
      <c r="Q41" s="2"/>
      <c r="R41" s="18"/>
    </row>
    <row r="42" spans="1:20" ht="15.6" x14ac:dyDescent="0.3">
      <c r="C42" s="2"/>
      <c r="M42" s="8"/>
      <c r="N42" s="2"/>
      <c r="O42" s="2"/>
      <c r="P42" s="2"/>
      <c r="Q42" s="2"/>
      <c r="R42" s="2"/>
    </row>
    <row r="43" spans="1:20" ht="15.6" x14ac:dyDescent="0.3">
      <c r="C43" s="2"/>
      <c r="K43" s="2"/>
      <c r="L43" s="2"/>
      <c r="M43" s="8"/>
      <c r="R43" s="2"/>
    </row>
    <row r="44" spans="1:20" x14ac:dyDescent="0.3">
      <c r="C44" s="2"/>
      <c r="K44" s="2"/>
      <c r="L44" s="2"/>
      <c r="M44" s="2"/>
      <c r="R44" s="2"/>
    </row>
    <row r="45" spans="1:20" x14ac:dyDescent="0.3">
      <c r="K45" s="2"/>
      <c r="L45" s="2"/>
      <c r="M45" s="2"/>
    </row>
    <row r="46" spans="1:20" x14ac:dyDescent="0.3">
      <c r="R46" s="2"/>
    </row>
    <row r="47" spans="1:20" x14ac:dyDescent="0.3">
      <c r="C47" s="2"/>
    </row>
    <row r="48" spans="1:20" x14ac:dyDescent="0.3">
      <c r="C48" s="2"/>
    </row>
    <row r="49" spans="3:3" x14ac:dyDescent="0.3">
      <c r="C49" s="2"/>
    </row>
    <row r="50" spans="3:3" x14ac:dyDescent="0.3">
      <c r="C50" s="2"/>
    </row>
    <row r="51" spans="3:3" x14ac:dyDescent="0.3">
      <c r="C51" s="2"/>
    </row>
    <row r="52" spans="3:3" x14ac:dyDescent="0.3">
      <c r="C52" s="2"/>
    </row>
    <row r="53" spans="3:3" x14ac:dyDescent="0.3">
      <c r="C53" s="2"/>
    </row>
    <row r="54" spans="3:3" x14ac:dyDescent="0.3">
      <c r="C54" s="2"/>
    </row>
    <row r="55" spans="3:3" x14ac:dyDescent="0.3">
      <c r="C55" s="2"/>
    </row>
    <row r="56" spans="3:3" x14ac:dyDescent="0.3">
      <c r="C56" s="2"/>
    </row>
    <row r="57" spans="3:3" x14ac:dyDescent="0.3">
      <c r="C57" s="2"/>
    </row>
    <row r="58" spans="3:3" x14ac:dyDescent="0.3">
      <c r="C58" s="2"/>
    </row>
    <row r="59" spans="3:3" x14ac:dyDescent="0.3">
      <c r="C59" s="2"/>
    </row>
    <row r="60" spans="3:3" x14ac:dyDescent="0.3">
      <c r="C60" s="2"/>
    </row>
    <row r="61" spans="3:3" x14ac:dyDescent="0.3">
      <c r="C61" s="2"/>
    </row>
    <row r="62" spans="3:3" x14ac:dyDescent="0.3">
      <c r="C62" s="2"/>
    </row>
    <row r="63" spans="3:3" x14ac:dyDescent="0.3">
      <c r="C63" s="2"/>
    </row>
    <row r="64" spans="3:3" x14ac:dyDescent="0.3">
      <c r="C64" s="2"/>
    </row>
    <row r="65" spans="3:3" x14ac:dyDescent="0.3">
      <c r="C65" s="2"/>
    </row>
    <row r="66" spans="3:3" x14ac:dyDescent="0.3">
      <c r="C66" s="2"/>
    </row>
    <row r="67" spans="3:3" x14ac:dyDescent="0.3">
      <c r="C67" s="2"/>
    </row>
    <row r="68" spans="3:3" x14ac:dyDescent="0.3">
      <c r="C68" s="2"/>
    </row>
    <row r="69" spans="3:3" x14ac:dyDescent="0.3">
      <c r="C69" s="2"/>
    </row>
    <row r="70" spans="3:3" x14ac:dyDescent="0.3">
      <c r="C70" s="2"/>
    </row>
    <row r="71" spans="3:3" x14ac:dyDescent="0.3">
      <c r="C71" s="2"/>
    </row>
    <row r="72" spans="3:3" x14ac:dyDescent="0.3">
      <c r="C72" s="2"/>
    </row>
    <row r="73" spans="3:3" x14ac:dyDescent="0.3">
      <c r="C73" s="2"/>
    </row>
  </sheetData>
  <printOptions horizontalCentered="1" verticalCentered="1"/>
  <pageMargins left="0.23622047244094491" right="0.15748031496062992" top="1.1023622047244095" bottom="0.59055118110236227" header="0.43307086614173229" footer="0.15748031496062992"/>
  <pageSetup paperSize="8" scale="71" orientation="landscape" errors="blank" r:id="rId1"/>
  <headerFooter>
    <oddHeader xml:space="preserve">&amp;C&amp;"-,Pogrubiony"&amp;18
PROJEKT PLANU kosztów i wpływów na Eksploatacji w  Spółdzielni Mieszkaniowej  "Dom dla Młodych" na 2024 r.
&amp;R&amp;"-,Pogrubiony"&amp;14Załącznik nr 6
</oddHeader>
    <oddFooter xml:space="preserve">&amp;CKraków luty 2024 r.
&amp;R
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50DB1-9400-40CA-890D-5F670ACEA05A}">
  <sheetPr>
    <pageSetUpPr fitToPage="1"/>
  </sheetPr>
  <dimension ref="A1:S36"/>
  <sheetViews>
    <sheetView topLeftCell="F1" zoomScaleNormal="100" workbookViewId="0">
      <selection activeCell="R32" sqref="R32"/>
    </sheetView>
  </sheetViews>
  <sheetFormatPr defaultRowHeight="14.4" x14ac:dyDescent="0.3"/>
  <cols>
    <col min="1" max="1" width="3.77734375" bestFit="1" customWidth="1"/>
    <col min="2" max="2" width="21.21875" customWidth="1"/>
    <col min="3" max="5" width="12.77734375" customWidth="1"/>
    <col min="6" max="6" width="11" customWidth="1"/>
    <col min="7" max="7" width="17.21875" customWidth="1"/>
    <col min="8" max="9" width="12.21875" bestFit="1" customWidth="1"/>
    <col min="10" max="11" width="12.21875" customWidth="1"/>
    <col min="12" max="12" width="12.21875" bestFit="1" customWidth="1"/>
    <col min="13" max="14" width="15.109375" customWidth="1"/>
    <col min="15" max="15" width="13.77734375" bestFit="1" customWidth="1"/>
    <col min="16" max="16" width="17.21875" customWidth="1"/>
    <col min="17" max="17" width="3" customWidth="1"/>
    <col min="18" max="18" width="13.88671875" customWidth="1"/>
    <col min="19" max="20" width="13.77734375" customWidth="1"/>
  </cols>
  <sheetData>
    <row r="1" spans="1:19" ht="160.80000000000001" x14ac:dyDescent="0.3">
      <c r="A1" s="10" t="s">
        <v>0</v>
      </c>
      <c r="B1" s="11" t="s">
        <v>1</v>
      </c>
      <c r="C1" s="11" t="s">
        <v>35</v>
      </c>
      <c r="D1" s="14" t="s">
        <v>2</v>
      </c>
      <c r="E1" s="14" t="s">
        <v>53</v>
      </c>
      <c r="F1" s="11" t="s">
        <v>45</v>
      </c>
      <c r="G1" s="11" t="s">
        <v>208</v>
      </c>
      <c r="H1" s="11" t="s">
        <v>42</v>
      </c>
      <c r="I1" s="11" t="s">
        <v>43</v>
      </c>
      <c r="J1" s="11" t="s">
        <v>44</v>
      </c>
      <c r="K1" s="11" t="s">
        <v>51</v>
      </c>
      <c r="L1" s="11" t="s">
        <v>62</v>
      </c>
      <c r="M1" s="11" t="s">
        <v>65</v>
      </c>
      <c r="N1" s="11" t="s">
        <v>54</v>
      </c>
      <c r="O1" s="43" t="s">
        <v>63</v>
      </c>
      <c r="P1" s="42" t="s">
        <v>64</v>
      </c>
      <c r="R1" s="60" t="s">
        <v>39</v>
      </c>
      <c r="S1" s="60"/>
    </row>
    <row r="2" spans="1:19" x14ac:dyDescent="0.3">
      <c r="A2" s="10">
        <v>1</v>
      </c>
      <c r="B2" s="11">
        <v>2</v>
      </c>
      <c r="C2" s="11">
        <v>3</v>
      </c>
      <c r="D2" s="11">
        <v>4</v>
      </c>
      <c r="E2" s="11">
        <v>5</v>
      </c>
      <c r="F2" s="11">
        <v>6</v>
      </c>
      <c r="G2" s="11">
        <v>7</v>
      </c>
      <c r="H2" s="12">
        <v>8</v>
      </c>
      <c r="I2" s="11">
        <v>9</v>
      </c>
      <c r="J2" s="12">
        <v>10</v>
      </c>
      <c r="K2" s="11">
        <v>11</v>
      </c>
      <c r="L2" s="12">
        <v>12</v>
      </c>
      <c r="M2" s="11">
        <v>13</v>
      </c>
      <c r="N2" s="11">
        <v>14</v>
      </c>
      <c r="O2" s="12">
        <v>15</v>
      </c>
      <c r="P2" s="11">
        <v>16</v>
      </c>
    </row>
    <row r="3" spans="1:19" x14ac:dyDescent="0.3">
      <c r="A3" s="44">
        <v>1</v>
      </c>
      <c r="B3" s="19" t="s">
        <v>31</v>
      </c>
      <c r="C3" s="20">
        <v>3445.5</v>
      </c>
      <c r="D3" s="20">
        <v>160.9</v>
      </c>
      <c r="E3" s="20">
        <f>C3-D3</f>
        <v>3284.6</v>
      </c>
      <c r="F3" s="45">
        <v>3.56</v>
      </c>
      <c r="G3" s="46">
        <f t="shared" ref="G3:G31" si="0">$G$34/$C$32*C3</f>
        <v>3179.4174912225576</v>
      </c>
      <c r="H3" s="46">
        <f t="shared" ref="H3:H31" si="1">$H$34/$C$32*C3</f>
        <v>2149.1997774870401</v>
      </c>
      <c r="I3" s="46">
        <f t="shared" ref="I3:I31" si="2">$I$36/$C$32*C3</f>
        <v>5339.2451865809562</v>
      </c>
      <c r="J3" s="46">
        <f t="shared" ref="J3:J31" si="3">$J$34/$C$32*C3</f>
        <v>601.02297546123202</v>
      </c>
      <c r="K3" s="46">
        <f t="shared" ref="K3:K31" si="4">$K$34/$C$32*C3</f>
        <v>3183.1760381533691</v>
      </c>
      <c r="L3" s="46">
        <f>G3+H3+I3+J3+K3</f>
        <v>14452.061468905154</v>
      </c>
      <c r="M3" s="46">
        <f>ROUND(L3/C3/7,2)</f>
        <v>0.6</v>
      </c>
      <c r="N3" s="46">
        <f t="shared" ref="N3:N32" si="5">ROUND($N$34/$E$32/7,2)</f>
        <v>0.37</v>
      </c>
      <c r="O3" s="47">
        <f>M3-N3+'Zał 7 25-01-2024'!L3</f>
        <v>0.22999999999999998</v>
      </c>
      <c r="P3" s="48">
        <f>F3+O3</f>
        <v>3.79</v>
      </c>
      <c r="R3" s="2">
        <f>ROUND(M3*C3*7,2)</f>
        <v>14471.1</v>
      </c>
      <c r="S3" s="2">
        <f>P3-'Zał 7 25-01-2024'!K3</f>
        <v>0</v>
      </c>
    </row>
    <row r="4" spans="1:19" x14ac:dyDescent="0.3">
      <c r="A4" s="44">
        <v>2</v>
      </c>
      <c r="B4" s="19" t="s">
        <v>4</v>
      </c>
      <c r="C4" s="20">
        <v>1636.3</v>
      </c>
      <c r="D4" s="20">
        <v>75.900000000000006</v>
      </c>
      <c r="E4" s="20">
        <f t="shared" ref="E4:E31" si="6">C4-D4</f>
        <v>1560.3999999999999</v>
      </c>
      <c r="F4" s="45">
        <v>3.57</v>
      </c>
      <c r="G4" s="46">
        <f t="shared" si="0"/>
        <v>1509.934941485262</v>
      </c>
      <c r="H4" s="46">
        <f t="shared" si="1"/>
        <v>1020.674966159351</v>
      </c>
      <c r="I4" s="46">
        <f t="shared" si="2"/>
        <v>2535.657204702487</v>
      </c>
      <c r="J4" s="46">
        <f t="shared" si="3"/>
        <v>285.4314017551049</v>
      </c>
      <c r="K4" s="46">
        <f t="shared" si="4"/>
        <v>1511.7199103846633</v>
      </c>
      <c r="L4" s="46">
        <f t="shared" ref="L4:L31" si="7">G4+H4+I4+J4+K4</f>
        <v>6863.4184244868684</v>
      </c>
      <c r="M4" s="46">
        <f t="shared" ref="M4:M31" si="8">ROUND(L4/C4/7,2)</f>
        <v>0.6</v>
      </c>
      <c r="N4" s="46">
        <f t="shared" si="5"/>
        <v>0.37</v>
      </c>
      <c r="O4" s="47">
        <f>M4-N4+'Zał 7 25-01-2024'!L4+0.2</f>
        <v>0.43</v>
      </c>
      <c r="P4" s="48">
        <f t="shared" ref="P4:P30" si="9">F4+O4</f>
        <v>4</v>
      </c>
      <c r="R4" s="2">
        <f t="shared" ref="R4:R30" si="10">ROUND(M4*C4*7,2)</f>
        <v>6872.46</v>
      </c>
      <c r="S4" s="2">
        <f>P4-'Zał 7 25-01-2024'!K4</f>
        <v>0</v>
      </c>
    </row>
    <row r="5" spans="1:19" x14ac:dyDescent="0.3">
      <c r="A5" s="44">
        <v>3</v>
      </c>
      <c r="B5" s="19" t="s">
        <v>32</v>
      </c>
      <c r="C5" s="20">
        <v>1132.5999999999999</v>
      </c>
      <c r="D5" s="20">
        <v>117.2</v>
      </c>
      <c r="E5" s="20">
        <f t="shared" si="6"/>
        <v>1015.3999999999999</v>
      </c>
      <c r="F5" s="45">
        <v>3.91</v>
      </c>
      <c r="G5" s="46">
        <f t="shared" si="0"/>
        <v>1045.1337253108891</v>
      </c>
      <c r="H5" s="46">
        <f t="shared" si="1"/>
        <v>706.48198171000479</v>
      </c>
      <c r="I5" s="46">
        <f t="shared" si="2"/>
        <v>1755.1093015009694</v>
      </c>
      <c r="J5" s="46">
        <f t="shared" si="3"/>
        <v>197.56744217309281</v>
      </c>
      <c r="K5" s="46">
        <f t="shared" si="4"/>
        <v>1046.3692296655074</v>
      </c>
      <c r="L5" s="46">
        <f t="shared" si="7"/>
        <v>4750.6616803604629</v>
      </c>
      <c r="M5" s="46">
        <f t="shared" si="8"/>
        <v>0.6</v>
      </c>
      <c r="N5" s="46">
        <f t="shared" si="5"/>
        <v>0.37</v>
      </c>
      <c r="O5" s="47">
        <f>M5-N5+'Zał 7 25-01-2024'!L5+0.36</f>
        <v>0.59</v>
      </c>
      <c r="P5" s="48">
        <f t="shared" si="9"/>
        <v>4.5</v>
      </c>
      <c r="R5" s="2">
        <f t="shared" si="10"/>
        <v>4756.92</v>
      </c>
      <c r="S5" s="2">
        <f>P5-'Zał 7 25-01-2024'!K5</f>
        <v>0</v>
      </c>
    </row>
    <row r="6" spans="1:19" x14ac:dyDescent="0.3">
      <c r="A6" s="44">
        <v>4</v>
      </c>
      <c r="B6" s="19" t="s">
        <v>5</v>
      </c>
      <c r="C6" s="21">
        <f>2928.1+336.6*0.6+412</f>
        <v>3542.06</v>
      </c>
      <c r="D6" s="21">
        <v>68</v>
      </c>
      <c r="E6" s="20">
        <f t="shared" si="6"/>
        <v>3474.06</v>
      </c>
      <c r="F6" s="45">
        <v>3.67</v>
      </c>
      <c r="G6" s="46">
        <f t="shared" si="0"/>
        <v>3268.5205395326575</v>
      </c>
      <c r="H6" s="46">
        <f t="shared" si="1"/>
        <v>2209.4310154827299</v>
      </c>
      <c r="I6" s="46">
        <f t="shared" si="2"/>
        <v>5488.8773198609615</v>
      </c>
      <c r="J6" s="46">
        <f t="shared" si="3"/>
        <v>617.86662036343387</v>
      </c>
      <c r="K6" s="46">
        <f t="shared" si="4"/>
        <v>3272.3844195912125</v>
      </c>
      <c r="L6" s="46">
        <f t="shared" si="7"/>
        <v>14857.079914830996</v>
      </c>
      <c r="M6" s="46">
        <f t="shared" si="8"/>
        <v>0.6</v>
      </c>
      <c r="N6" s="46">
        <f t="shared" si="5"/>
        <v>0.37</v>
      </c>
      <c r="O6" s="47">
        <f>M6-N6+'Zał 7 25-01-2024'!L6</f>
        <v>0.22999999999999998</v>
      </c>
      <c r="P6" s="48">
        <f t="shared" si="9"/>
        <v>3.9</v>
      </c>
      <c r="R6" s="2">
        <f t="shared" si="10"/>
        <v>14876.65</v>
      </c>
      <c r="S6" s="2">
        <f>P6-'Zał 7 25-01-2024'!K6</f>
        <v>0</v>
      </c>
    </row>
    <row r="7" spans="1:19" x14ac:dyDescent="0.3">
      <c r="A7" s="44">
        <v>5</v>
      </c>
      <c r="B7" s="19" t="s">
        <v>6</v>
      </c>
      <c r="C7" s="20">
        <f>5933.6+64.2</f>
        <v>5997.8</v>
      </c>
      <c r="D7" s="20">
        <v>414.9</v>
      </c>
      <c r="E7" s="20">
        <f t="shared" si="6"/>
        <v>5582.9000000000005</v>
      </c>
      <c r="F7" s="45">
        <v>3.28</v>
      </c>
      <c r="G7" s="46">
        <f t="shared" si="0"/>
        <v>5534.6133300985794</v>
      </c>
      <c r="H7" s="46">
        <f t="shared" si="1"/>
        <v>3741.2481281125442</v>
      </c>
      <c r="I7" s="46">
        <f t="shared" si="2"/>
        <v>9294.3621477507641</v>
      </c>
      <c r="J7" s="46">
        <f t="shared" si="3"/>
        <v>1046.2387468354018</v>
      </c>
      <c r="K7" s="46">
        <f t="shared" si="4"/>
        <v>5541.1560707114431</v>
      </c>
      <c r="L7" s="46">
        <f t="shared" si="7"/>
        <v>25157.618423508735</v>
      </c>
      <c r="M7" s="46">
        <f t="shared" si="8"/>
        <v>0.6</v>
      </c>
      <c r="N7" s="46">
        <f t="shared" si="5"/>
        <v>0.37</v>
      </c>
      <c r="O7" s="47">
        <f>M7-N7+'Zał 7 25-01-2024'!L7-0.23</f>
        <v>0</v>
      </c>
      <c r="P7" s="48">
        <f t="shared" si="9"/>
        <v>3.28</v>
      </c>
      <c r="R7" s="2">
        <f t="shared" si="10"/>
        <v>25190.76</v>
      </c>
      <c r="S7" s="2">
        <f>P7-'Zał 7 25-01-2024'!K7</f>
        <v>0</v>
      </c>
    </row>
    <row r="8" spans="1:19" x14ac:dyDescent="0.3">
      <c r="A8" s="44">
        <v>6</v>
      </c>
      <c r="B8" s="19" t="s">
        <v>7</v>
      </c>
      <c r="C8" s="20">
        <v>2721.99</v>
      </c>
      <c r="D8" s="20">
        <v>146.34</v>
      </c>
      <c r="E8" s="20">
        <f t="shared" si="6"/>
        <v>2575.6499999999996</v>
      </c>
      <c r="F8" s="45">
        <v>3.62</v>
      </c>
      <c r="G8" s="46">
        <f t="shared" si="0"/>
        <v>2511.7813428915651</v>
      </c>
      <c r="H8" s="46">
        <f t="shared" si="1"/>
        <v>1697.8958938679286</v>
      </c>
      <c r="I8" s="46">
        <f t="shared" si="2"/>
        <v>4218.073430683934</v>
      </c>
      <c r="J8" s="46">
        <f t="shared" si="3"/>
        <v>474.81600028318638</v>
      </c>
      <c r="K8" s="46">
        <f t="shared" si="4"/>
        <v>2514.7506440554603</v>
      </c>
      <c r="L8" s="46">
        <f t="shared" si="7"/>
        <v>11417.317311782075</v>
      </c>
      <c r="M8" s="46">
        <f t="shared" si="8"/>
        <v>0.6</v>
      </c>
      <c r="N8" s="46">
        <f t="shared" si="5"/>
        <v>0.37</v>
      </c>
      <c r="O8" s="47">
        <f>M8-N8+'Zał 7 25-01-2024'!L8-0.23</f>
        <v>0</v>
      </c>
      <c r="P8" s="48">
        <f t="shared" si="9"/>
        <v>3.62</v>
      </c>
      <c r="R8" s="2">
        <f t="shared" si="10"/>
        <v>11432.36</v>
      </c>
      <c r="S8" s="2">
        <f>P8-'Zał 7 25-01-2024'!K8</f>
        <v>0</v>
      </c>
    </row>
    <row r="9" spans="1:19" x14ac:dyDescent="0.3">
      <c r="A9" s="44">
        <v>7</v>
      </c>
      <c r="B9" s="19" t="s">
        <v>8</v>
      </c>
      <c r="C9" s="20">
        <f>3970.72+353.27*0.6</f>
        <v>4182.6819999999998</v>
      </c>
      <c r="D9" s="20">
        <v>284.23</v>
      </c>
      <c r="E9" s="20">
        <f t="shared" si="6"/>
        <v>3898.4519999999998</v>
      </c>
      <c r="F9" s="45">
        <v>3.63</v>
      </c>
      <c r="G9" s="46">
        <f t="shared" si="0"/>
        <v>3859.66980438884</v>
      </c>
      <c r="H9" s="46">
        <f t="shared" si="1"/>
        <v>2609.0318455083584</v>
      </c>
      <c r="I9" s="46">
        <f t="shared" si="2"/>
        <v>6481.6034640832404</v>
      </c>
      <c r="J9" s="46">
        <f t="shared" si="3"/>
        <v>729.61485446180131</v>
      </c>
      <c r="K9" s="46">
        <f t="shared" si="4"/>
        <v>3864.232511280049</v>
      </c>
      <c r="L9" s="46">
        <f t="shared" si="7"/>
        <v>17544.152479722288</v>
      </c>
      <c r="M9" s="46">
        <f t="shared" si="8"/>
        <v>0.6</v>
      </c>
      <c r="N9" s="46">
        <f t="shared" si="5"/>
        <v>0.37</v>
      </c>
      <c r="O9" s="47">
        <f>M9-N9+'Zał 7 25-01-2024'!L9-0.23</f>
        <v>0</v>
      </c>
      <c r="P9" s="48">
        <f t="shared" si="9"/>
        <v>3.63</v>
      </c>
      <c r="R9" s="2">
        <f t="shared" si="10"/>
        <v>17567.259999999998</v>
      </c>
      <c r="S9" s="2">
        <f>P9-'Zał 7 25-01-2024'!K9</f>
        <v>0</v>
      </c>
    </row>
    <row r="10" spans="1:19" x14ac:dyDescent="0.3">
      <c r="A10" s="44">
        <v>8</v>
      </c>
      <c r="B10" s="19" t="s">
        <v>9</v>
      </c>
      <c r="C10" s="20">
        <v>6192.08</v>
      </c>
      <c r="D10" s="20">
        <v>912.99</v>
      </c>
      <c r="E10" s="20">
        <f t="shared" si="6"/>
        <v>5279.09</v>
      </c>
      <c r="F10" s="45">
        <v>3.52</v>
      </c>
      <c r="G10" s="46">
        <f t="shared" si="0"/>
        <v>5713.8898444490997</v>
      </c>
      <c r="H10" s="46">
        <f t="shared" si="1"/>
        <v>3862.4341773855617</v>
      </c>
      <c r="I10" s="46">
        <f t="shared" si="2"/>
        <v>9595.4239834346845</v>
      </c>
      <c r="J10" s="46">
        <f t="shared" si="3"/>
        <v>1080.1283836581006</v>
      </c>
      <c r="K10" s="46">
        <f t="shared" si="4"/>
        <v>5720.6445167112797</v>
      </c>
      <c r="L10" s="46">
        <f t="shared" si="7"/>
        <v>25972.520905638728</v>
      </c>
      <c r="M10" s="46">
        <f t="shared" si="8"/>
        <v>0.6</v>
      </c>
      <c r="N10" s="46">
        <f t="shared" si="5"/>
        <v>0.37</v>
      </c>
      <c r="O10" s="47">
        <f>M10-N10+'Zał 7 25-01-2024'!L10-0.23</f>
        <v>0</v>
      </c>
      <c r="P10" s="48">
        <f t="shared" si="9"/>
        <v>3.52</v>
      </c>
      <c r="R10" s="2">
        <f t="shared" si="10"/>
        <v>26006.74</v>
      </c>
      <c r="S10" s="2">
        <f>P10-'Zał 7 25-01-2024'!K10</f>
        <v>0</v>
      </c>
    </row>
    <row r="11" spans="1:19" x14ac:dyDescent="0.3">
      <c r="A11" s="44">
        <v>9</v>
      </c>
      <c r="B11" s="19" t="s">
        <v>10</v>
      </c>
      <c r="C11" s="20">
        <f>1411+188.64*0.6</f>
        <v>1524.184</v>
      </c>
      <c r="D11" s="20">
        <v>185.41</v>
      </c>
      <c r="E11" s="20">
        <f t="shared" si="6"/>
        <v>1338.7739999999999</v>
      </c>
      <c r="F11" s="45">
        <v>3.64</v>
      </c>
      <c r="G11" s="46">
        <f t="shared" si="0"/>
        <v>1406.4772223020061</v>
      </c>
      <c r="H11" s="46">
        <f t="shared" si="1"/>
        <v>950.74036094886287</v>
      </c>
      <c r="I11" s="46">
        <f t="shared" si="2"/>
        <v>2361.9190496194187</v>
      </c>
      <c r="J11" s="46">
        <f t="shared" si="3"/>
        <v>265.87421356273467</v>
      </c>
      <c r="K11" s="46">
        <f t="shared" si="4"/>
        <v>1408.1398887060673</v>
      </c>
      <c r="L11" s="46">
        <f t="shared" si="7"/>
        <v>6393.1507351390901</v>
      </c>
      <c r="M11" s="46">
        <f t="shared" si="8"/>
        <v>0.6</v>
      </c>
      <c r="N11" s="46">
        <f t="shared" si="5"/>
        <v>0.37</v>
      </c>
      <c r="O11" s="47">
        <f>M11-N11+'Zał 7 25-01-2024'!L11+0.25</f>
        <v>0.48</v>
      </c>
      <c r="P11" s="48">
        <f t="shared" si="9"/>
        <v>4.12</v>
      </c>
      <c r="R11" s="2">
        <f t="shared" si="10"/>
        <v>6401.57</v>
      </c>
      <c r="S11" s="2">
        <f>P11-'Zał 7 25-01-2024'!K11</f>
        <v>0</v>
      </c>
    </row>
    <row r="12" spans="1:19" x14ac:dyDescent="0.3">
      <c r="A12" s="44">
        <v>10</v>
      </c>
      <c r="B12" s="19" t="s">
        <v>11</v>
      </c>
      <c r="C12" s="20">
        <f>1525.18+190.8*0.6</f>
        <v>1639.66</v>
      </c>
      <c r="D12" s="20">
        <v>196.39</v>
      </c>
      <c r="E12" s="20">
        <f t="shared" si="6"/>
        <v>1443.27</v>
      </c>
      <c r="F12" s="45">
        <v>3.38</v>
      </c>
      <c r="G12" s="46">
        <f t="shared" si="0"/>
        <v>1513.0354618075689</v>
      </c>
      <c r="H12" s="46">
        <f t="shared" si="1"/>
        <v>1022.7708335958208</v>
      </c>
      <c r="I12" s="46">
        <f t="shared" si="2"/>
        <v>2540.8639566476072</v>
      </c>
      <c r="J12" s="46">
        <f t="shared" si="3"/>
        <v>286.01751035982113</v>
      </c>
      <c r="K12" s="46">
        <f t="shared" si="4"/>
        <v>1514.8240959856489</v>
      </c>
      <c r="L12" s="46">
        <f t="shared" si="7"/>
        <v>6877.5118583964668</v>
      </c>
      <c r="M12" s="46">
        <f t="shared" si="8"/>
        <v>0.6</v>
      </c>
      <c r="N12" s="46">
        <f t="shared" si="5"/>
        <v>0.37</v>
      </c>
      <c r="O12" s="47">
        <f>M12-N12+'Zał 7 25-01-2024'!L12+0.34</f>
        <v>0.57000000000000006</v>
      </c>
      <c r="P12" s="48">
        <f t="shared" si="9"/>
        <v>3.95</v>
      </c>
      <c r="R12" s="2">
        <f t="shared" si="10"/>
        <v>6886.57</v>
      </c>
      <c r="S12" s="2">
        <f>P12-'Zał 7 25-01-2024'!K12</f>
        <v>0</v>
      </c>
    </row>
    <row r="13" spans="1:19" x14ac:dyDescent="0.3">
      <c r="A13" s="44">
        <v>11</v>
      </c>
      <c r="B13" s="19" t="s">
        <v>12</v>
      </c>
      <c r="C13" s="20">
        <f>1423.32+189.72*0.6</f>
        <v>1537.152</v>
      </c>
      <c r="D13" s="20">
        <v>135.54</v>
      </c>
      <c r="E13" s="20">
        <f t="shared" si="6"/>
        <v>1401.6120000000001</v>
      </c>
      <c r="F13" s="45">
        <v>3.64</v>
      </c>
      <c r="G13" s="46">
        <f t="shared" si="0"/>
        <v>1418.4437543078616</v>
      </c>
      <c r="H13" s="46">
        <f t="shared" si="1"/>
        <v>958.8294112215234</v>
      </c>
      <c r="I13" s="46">
        <f t="shared" si="2"/>
        <v>2382.0146327218954</v>
      </c>
      <c r="J13" s="46">
        <f t="shared" si="3"/>
        <v>268.13631367760371</v>
      </c>
      <c r="K13" s="46">
        <f t="shared" si="4"/>
        <v>1420.1205669422516</v>
      </c>
      <c r="L13" s="46">
        <f t="shared" si="7"/>
        <v>6447.5446788711351</v>
      </c>
      <c r="M13" s="46">
        <f t="shared" si="8"/>
        <v>0.6</v>
      </c>
      <c r="N13" s="46">
        <f t="shared" si="5"/>
        <v>0.37</v>
      </c>
      <c r="O13" s="47">
        <f>M13-N13+'Zał 7 25-01-2024'!L13+0.25</f>
        <v>0.48</v>
      </c>
      <c r="P13" s="48">
        <f t="shared" si="9"/>
        <v>4.12</v>
      </c>
      <c r="R13" s="2">
        <f t="shared" si="10"/>
        <v>6456.04</v>
      </c>
      <c r="S13" s="2">
        <f>P13-'Zał 7 25-01-2024'!K13</f>
        <v>0</v>
      </c>
    </row>
    <row r="14" spans="1:19" x14ac:dyDescent="0.3">
      <c r="A14" s="44">
        <v>12</v>
      </c>
      <c r="B14" s="19" t="s">
        <v>13</v>
      </c>
      <c r="C14" s="20">
        <f>4316.48+499.93*0.6+155.4</f>
        <v>4771.8379999999988</v>
      </c>
      <c r="D14" s="20">
        <v>354.54</v>
      </c>
      <c r="E14" s="20">
        <f t="shared" si="6"/>
        <v>4417.2979999999989</v>
      </c>
      <c r="F14" s="45">
        <v>3.54</v>
      </c>
      <c r="G14" s="46">
        <f t="shared" si="0"/>
        <v>4403.3275874272131</v>
      </c>
      <c r="H14" s="46">
        <f t="shared" si="1"/>
        <v>2976.529725091917</v>
      </c>
      <c r="I14" s="46">
        <f t="shared" si="2"/>
        <v>7394.5764250889833</v>
      </c>
      <c r="J14" s="46">
        <f t="shared" si="3"/>
        <v>832.38550955709582</v>
      </c>
      <c r="K14" s="46">
        <f t="shared" si="4"/>
        <v>4408.5329791176009</v>
      </c>
      <c r="L14" s="46">
        <f t="shared" si="7"/>
        <v>20015.352226282812</v>
      </c>
      <c r="M14" s="46">
        <f t="shared" si="8"/>
        <v>0.6</v>
      </c>
      <c r="N14" s="46">
        <f t="shared" si="5"/>
        <v>0.37</v>
      </c>
      <c r="O14" s="47">
        <f>M14-N14+'Zał 7 25-01-2024'!L14</f>
        <v>0.22999999999999998</v>
      </c>
      <c r="P14" s="48">
        <f t="shared" si="9"/>
        <v>3.77</v>
      </c>
      <c r="R14" s="2">
        <f t="shared" si="10"/>
        <v>20041.72</v>
      </c>
      <c r="S14" s="2">
        <f>P14-'Zał 7 25-01-2024'!K14</f>
        <v>0</v>
      </c>
    </row>
    <row r="15" spans="1:19" x14ac:dyDescent="0.3">
      <c r="A15" s="44">
        <v>13</v>
      </c>
      <c r="B15" s="19" t="s">
        <v>14</v>
      </c>
      <c r="C15" s="20">
        <f>3184.69+431.21*0.6</f>
        <v>3443.4160000000002</v>
      </c>
      <c r="D15" s="20">
        <v>293.58</v>
      </c>
      <c r="E15" s="20">
        <f t="shared" si="6"/>
        <v>3149.8360000000002</v>
      </c>
      <c r="F15" s="45">
        <v>3.4</v>
      </c>
      <c r="G15" s="46">
        <f t="shared" si="0"/>
        <v>3177.494430403603</v>
      </c>
      <c r="H15" s="46">
        <f t="shared" si="1"/>
        <v>2147.8998406603728</v>
      </c>
      <c r="I15" s="46">
        <f t="shared" si="2"/>
        <v>5336.0157606721377</v>
      </c>
      <c r="J15" s="46">
        <f t="shared" si="3"/>
        <v>600.6594485766401</v>
      </c>
      <c r="K15" s="46">
        <f t="shared" si="4"/>
        <v>3181.2507039889488</v>
      </c>
      <c r="L15" s="46">
        <f t="shared" si="7"/>
        <v>14443.320184301701</v>
      </c>
      <c r="M15" s="46">
        <f t="shared" si="8"/>
        <v>0.6</v>
      </c>
      <c r="N15" s="46">
        <f t="shared" si="5"/>
        <v>0.37</v>
      </c>
      <c r="O15" s="47">
        <f>M15-N15+'Zał 7 25-01-2024'!L15</f>
        <v>0.22999999999999998</v>
      </c>
      <c r="P15" s="48">
        <f t="shared" si="9"/>
        <v>3.63</v>
      </c>
      <c r="R15" s="2">
        <f t="shared" si="10"/>
        <v>14462.35</v>
      </c>
      <c r="S15" s="2">
        <f>P15-'Zał 7 25-01-2024'!K15</f>
        <v>0</v>
      </c>
    </row>
    <row r="16" spans="1:19" x14ac:dyDescent="0.3">
      <c r="A16" s="44">
        <v>14</v>
      </c>
      <c r="B16" s="19" t="s">
        <v>15</v>
      </c>
      <c r="C16" s="20">
        <f>4450.83+483.4*0.6</f>
        <v>4740.87</v>
      </c>
      <c r="D16" s="20">
        <v>106.61</v>
      </c>
      <c r="E16" s="20">
        <f t="shared" si="6"/>
        <v>4634.26</v>
      </c>
      <c r="F16" s="45">
        <v>3.42</v>
      </c>
      <c r="G16" s="46">
        <f t="shared" si="0"/>
        <v>4374.7511251232872</v>
      </c>
      <c r="H16" s="46">
        <f t="shared" si="1"/>
        <v>2957.2128135524554</v>
      </c>
      <c r="I16" s="46">
        <f t="shared" si="2"/>
        <v>7346.5875279947923</v>
      </c>
      <c r="J16" s="46">
        <f t="shared" si="3"/>
        <v>826.98354191696149</v>
      </c>
      <c r="K16" s="46">
        <f t="shared" si="4"/>
        <v>4379.9227351618529</v>
      </c>
      <c r="L16" s="46">
        <f t="shared" si="7"/>
        <v>19885.45774374935</v>
      </c>
      <c r="M16" s="46">
        <f t="shared" si="8"/>
        <v>0.6</v>
      </c>
      <c r="N16" s="46">
        <f t="shared" si="5"/>
        <v>0.37</v>
      </c>
      <c r="O16" s="47">
        <f>M16-N16+'Zał 7 25-01-2024'!L16</f>
        <v>0.22999999999999998</v>
      </c>
      <c r="P16" s="48">
        <f t="shared" si="9"/>
        <v>3.65</v>
      </c>
      <c r="R16" s="2">
        <f t="shared" si="10"/>
        <v>19911.650000000001</v>
      </c>
      <c r="S16" s="2">
        <f>P16-'Zał 7 25-01-2024'!K16</f>
        <v>0</v>
      </c>
    </row>
    <row r="17" spans="1:19" x14ac:dyDescent="0.3">
      <c r="A17" s="44">
        <v>15</v>
      </c>
      <c r="B17" s="19" t="s">
        <v>16</v>
      </c>
      <c r="C17" s="20">
        <v>1642.74</v>
      </c>
      <c r="D17" s="20">
        <v>72.430000000000007</v>
      </c>
      <c r="E17" s="20">
        <f t="shared" si="6"/>
        <v>1570.31</v>
      </c>
      <c r="F17" s="45">
        <v>3.9</v>
      </c>
      <c r="G17" s="46">
        <f t="shared" si="0"/>
        <v>1515.87760543635</v>
      </c>
      <c r="H17" s="46">
        <f t="shared" si="1"/>
        <v>1024.6920454125848</v>
      </c>
      <c r="I17" s="46">
        <f t="shared" si="2"/>
        <v>2545.6368125973008</v>
      </c>
      <c r="J17" s="46">
        <f t="shared" si="3"/>
        <v>286.55477658081099</v>
      </c>
      <c r="K17" s="46">
        <f t="shared" si="4"/>
        <v>1517.6695994532188</v>
      </c>
      <c r="L17" s="46">
        <f t="shared" si="7"/>
        <v>6890.4308394802647</v>
      </c>
      <c r="M17" s="46">
        <f t="shared" si="8"/>
        <v>0.6</v>
      </c>
      <c r="N17" s="46">
        <f t="shared" si="5"/>
        <v>0.37</v>
      </c>
      <c r="O17" s="47">
        <f>M17-N17+'Zał 7 25-01-2024'!L17+0.17</f>
        <v>0.4</v>
      </c>
      <c r="P17" s="48">
        <f t="shared" si="9"/>
        <v>4.3</v>
      </c>
      <c r="R17" s="2">
        <f t="shared" si="10"/>
        <v>6899.51</v>
      </c>
      <c r="S17" s="2">
        <f>P17-'Zał 7 25-01-2024'!K17</f>
        <v>0</v>
      </c>
    </row>
    <row r="18" spans="1:19" x14ac:dyDescent="0.3">
      <c r="A18" s="44">
        <v>16</v>
      </c>
      <c r="B18" s="19" t="s">
        <v>17</v>
      </c>
      <c r="C18" s="20">
        <f>2679.9+529.2</f>
        <v>3209.1000000000004</v>
      </c>
      <c r="D18" s="20">
        <v>113</v>
      </c>
      <c r="E18" s="20">
        <f t="shared" si="6"/>
        <v>3096.1000000000004</v>
      </c>
      <c r="F18" s="45">
        <v>3.53</v>
      </c>
      <c r="G18" s="46">
        <f t="shared" si="0"/>
        <v>2961.2737399745492</v>
      </c>
      <c r="H18" s="46">
        <f t="shared" si="1"/>
        <v>2001.7405328497059</v>
      </c>
      <c r="I18" s="46">
        <f t="shared" si="2"/>
        <v>4972.9129961564213</v>
      </c>
      <c r="J18" s="46">
        <f t="shared" si="3"/>
        <v>559.78604862941222</v>
      </c>
      <c r="K18" s="46">
        <f t="shared" si="4"/>
        <v>2964.7744083697512</v>
      </c>
      <c r="L18" s="46">
        <f t="shared" si="7"/>
        <v>13460.48772597984</v>
      </c>
      <c r="M18" s="46">
        <f t="shared" si="8"/>
        <v>0.6</v>
      </c>
      <c r="N18" s="46">
        <f t="shared" si="5"/>
        <v>0.37</v>
      </c>
      <c r="O18" s="47">
        <f>M18-N18+'Zał 7 25-01-2024'!L18+0.34</f>
        <v>0.57000000000000006</v>
      </c>
      <c r="P18" s="48">
        <f t="shared" si="9"/>
        <v>4.0999999999999996</v>
      </c>
      <c r="R18" s="2">
        <f t="shared" si="10"/>
        <v>13478.22</v>
      </c>
      <c r="S18" s="2">
        <f>P18-'Zał 7 25-01-2024'!K18</f>
        <v>0</v>
      </c>
    </row>
    <row r="19" spans="1:19" x14ac:dyDescent="0.3">
      <c r="A19" s="44">
        <v>17</v>
      </c>
      <c r="B19" s="19" t="s">
        <v>18</v>
      </c>
      <c r="C19" s="20">
        <f>1236.91+216.09</f>
        <v>1453</v>
      </c>
      <c r="D19" s="20">
        <v>35.11</v>
      </c>
      <c r="E19" s="20">
        <f t="shared" si="6"/>
        <v>1417.89</v>
      </c>
      <c r="F19" s="45">
        <v>3.83</v>
      </c>
      <c r="G19" s="46">
        <f t="shared" si="0"/>
        <v>1340.7904846165654</v>
      </c>
      <c r="H19" s="46">
        <f t="shared" si="1"/>
        <v>906.33791225908271</v>
      </c>
      <c r="I19" s="46">
        <f t="shared" si="2"/>
        <v>2251.6102905535131</v>
      </c>
      <c r="J19" s="46">
        <f t="shared" si="3"/>
        <v>253.45708412281817</v>
      </c>
      <c r="K19" s="46">
        <f t="shared" si="4"/>
        <v>1342.3754994737615</v>
      </c>
      <c r="L19" s="46">
        <f t="shared" si="7"/>
        <v>6094.5712710257394</v>
      </c>
      <c r="M19" s="46">
        <f t="shared" si="8"/>
        <v>0.6</v>
      </c>
      <c r="N19" s="46">
        <f t="shared" si="5"/>
        <v>0.37</v>
      </c>
      <c r="O19" s="47">
        <f>M19-N19+'Zał 7 25-01-2024'!L19</f>
        <v>0.22999999999999998</v>
      </c>
      <c r="P19" s="48">
        <f t="shared" si="9"/>
        <v>4.0600000000000005</v>
      </c>
      <c r="R19" s="2">
        <f t="shared" si="10"/>
        <v>6102.6</v>
      </c>
      <c r="S19" s="2">
        <f>P19-'Zał 7 25-01-2024'!K19</f>
        <v>0</v>
      </c>
    </row>
    <row r="20" spans="1:19" x14ac:dyDescent="0.3">
      <c r="A20" s="44">
        <v>18</v>
      </c>
      <c r="B20" s="19" t="s">
        <v>19</v>
      </c>
      <c r="C20" s="20">
        <f>1304.25+75.4*0.6+23.5</f>
        <v>1372.99</v>
      </c>
      <c r="D20" s="20">
        <v>132.4</v>
      </c>
      <c r="E20" s="20">
        <f t="shared" si="6"/>
        <v>1240.5899999999999</v>
      </c>
      <c r="F20" s="45">
        <v>4.26</v>
      </c>
      <c r="G20" s="46">
        <f t="shared" si="0"/>
        <v>1266.9593444416366</v>
      </c>
      <c r="H20" s="46">
        <f t="shared" si="1"/>
        <v>856.43006892814731</v>
      </c>
      <c r="I20" s="46">
        <f t="shared" si="2"/>
        <v>2127.6245098603358</v>
      </c>
      <c r="J20" s="46">
        <f t="shared" si="3"/>
        <v>239.50037297301319</v>
      </c>
      <c r="K20" s="46">
        <f t="shared" si="4"/>
        <v>1268.4570798502959</v>
      </c>
      <c r="L20" s="46">
        <f t="shared" si="7"/>
        <v>5758.9713760534287</v>
      </c>
      <c r="M20" s="46">
        <f t="shared" si="8"/>
        <v>0.6</v>
      </c>
      <c r="N20" s="46">
        <f t="shared" si="5"/>
        <v>0.37</v>
      </c>
      <c r="O20" s="47">
        <f>M20-N20+'Zał 7 25-01-2024'!L20+0.15</f>
        <v>0.38</v>
      </c>
      <c r="P20" s="48">
        <f t="shared" si="9"/>
        <v>4.6399999999999997</v>
      </c>
      <c r="R20" s="2">
        <f t="shared" si="10"/>
        <v>5766.56</v>
      </c>
      <c r="S20" s="2">
        <f>P20-'Zał 7 25-01-2024'!K20</f>
        <v>0</v>
      </c>
    </row>
    <row r="21" spans="1:19" x14ac:dyDescent="0.3">
      <c r="A21" s="44">
        <v>19</v>
      </c>
      <c r="B21" s="19" t="s">
        <v>20</v>
      </c>
      <c r="C21" s="20">
        <f>4083.6+625.9*0.6+161</f>
        <v>4620.1399999999994</v>
      </c>
      <c r="D21" s="20">
        <v>475.4</v>
      </c>
      <c r="E21" s="20">
        <f t="shared" si="6"/>
        <v>4144.74</v>
      </c>
      <c r="F21" s="45">
        <v>3.97</v>
      </c>
      <c r="G21" s="46">
        <f t="shared" si="0"/>
        <v>4263.3446315184983</v>
      </c>
      <c r="H21" s="46">
        <f t="shared" si="1"/>
        <v>2881.9050529557317</v>
      </c>
      <c r="I21" s="46">
        <f t="shared" si="2"/>
        <v>7159.5008725381322</v>
      </c>
      <c r="J21" s="46">
        <f t="shared" si="3"/>
        <v>805.92375267666694</v>
      </c>
      <c r="K21" s="46">
        <f t="shared" si="4"/>
        <v>4268.3845424216815</v>
      </c>
      <c r="L21" s="46">
        <f t="shared" si="7"/>
        <v>19379.058852110709</v>
      </c>
      <c r="M21" s="46">
        <f t="shared" si="8"/>
        <v>0.6</v>
      </c>
      <c r="N21" s="46">
        <f t="shared" si="5"/>
        <v>0.37</v>
      </c>
      <c r="O21" s="47">
        <f>M21-N21+'Zał 7 25-01-2024'!L21</f>
        <v>0.22999999999999998</v>
      </c>
      <c r="P21" s="48">
        <f t="shared" si="9"/>
        <v>4.2</v>
      </c>
      <c r="R21" s="2">
        <f t="shared" si="10"/>
        <v>19404.59</v>
      </c>
      <c r="S21" s="2">
        <f>P21-'Zał 7 25-01-2024'!K21</f>
        <v>0</v>
      </c>
    </row>
    <row r="22" spans="1:19" x14ac:dyDescent="0.3">
      <c r="A22" s="44">
        <v>20</v>
      </c>
      <c r="B22" s="19" t="s">
        <v>21</v>
      </c>
      <c r="C22" s="20">
        <f>4177.7+643.6*0.6+109.1</f>
        <v>4672.96</v>
      </c>
      <c r="D22" s="20">
        <v>165.6</v>
      </c>
      <c r="E22" s="20">
        <f t="shared" si="6"/>
        <v>4507.3599999999997</v>
      </c>
      <c r="F22" s="45">
        <v>3.71</v>
      </c>
      <c r="G22" s="46">
        <f t="shared" si="0"/>
        <v>4312.0855492042847</v>
      </c>
      <c r="H22" s="46">
        <f t="shared" si="1"/>
        <v>2914.8525880730922</v>
      </c>
      <c r="I22" s="46">
        <f t="shared" si="2"/>
        <v>7241.3522528182684</v>
      </c>
      <c r="J22" s="46">
        <f t="shared" si="3"/>
        <v>815.13751949247387</v>
      </c>
      <c r="K22" s="46">
        <f t="shared" si="4"/>
        <v>4317.1830791609837</v>
      </c>
      <c r="L22" s="46">
        <f t="shared" si="7"/>
        <v>19600.6109887491</v>
      </c>
      <c r="M22" s="46">
        <f t="shared" si="8"/>
        <v>0.6</v>
      </c>
      <c r="N22" s="46">
        <f t="shared" si="5"/>
        <v>0.37</v>
      </c>
      <c r="O22" s="47">
        <f>M22-N22+'Zał 7 25-01-2024'!L22</f>
        <v>0.22999999999999998</v>
      </c>
      <c r="P22" s="48">
        <f t="shared" si="9"/>
        <v>3.94</v>
      </c>
      <c r="R22" s="2">
        <f t="shared" si="10"/>
        <v>19626.43</v>
      </c>
      <c r="S22" s="2">
        <f>P22-'Zał 7 25-01-2024'!K22</f>
        <v>0</v>
      </c>
    </row>
    <row r="23" spans="1:19" x14ac:dyDescent="0.3">
      <c r="A23" s="44">
        <v>21</v>
      </c>
      <c r="B23" s="19" t="s">
        <v>22</v>
      </c>
      <c r="C23" s="20">
        <f>2637.6+388.5*0.6+286.7</f>
        <v>3157.3999999999996</v>
      </c>
      <c r="D23" s="20">
        <v>78.900000000000006</v>
      </c>
      <c r="E23" s="20">
        <f t="shared" si="6"/>
        <v>3078.4999999999995</v>
      </c>
      <c r="F23" s="45">
        <v>3.87</v>
      </c>
      <c r="G23" s="46">
        <f t="shared" si="0"/>
        <v>2913.566329062865</v>
      </c>
      <c r="H23" s="46">
        <f t="shared" si="1"/>
        <v>1969.4916202111683</v>
      </c>
      <c r="I23" s="46">
        <f t="shared" si="2"/>
        <v>4892.7971998579915</v>
      </c>
      <c r="J23" s="46">
        <f t="shared" si="3"/>
        <v>550.76765134851064</v>
      </c>
      <c r="K23" s="46">
        <f t="shared" si="4"/>
        <v>2917.0106001641116</v>
      </c>
      <c r="L23" s="46">
        <f t="shared" si="7"/>
        <v>13243.633400644649</v>
      </c>
      <c r="M23" s="46">
        <f t="shared" si="8"/>
        <v>0.6</v>
      </c>
      <c r="N23" s="46">
        <f t="shared" si="5"/>
        <v>0.37</v>
      </c>
      <c r="O23" s="47">
        <f>M23-N23+'Zał 7 25-01-2024'!L23+0.1</f>
        <v>0.32999999999999996</v>
      </c>
      <c r="P23" s="48">
        <f t="shared" si="9"/>
        <v>4.2</v>
      </c>
      <c r="R23" s="2">
        <f t="shared" si="10"/>
        <v>13261.08</v>
      </c>
      <c r="S23" s="2">
        <f>P23-'Zał 7 25-01-2024'!K23</f>
        <v>0</v>
      </c>
    </row>
    <row r="24" spans="1:19" x14ac:dyDescent="0.3">
      <c r="A24" s="44">
        <v>22</v>
      </c>
      <c r="B24" s="19" t="s">
        <v>28</v>
      </c>
      <c r="C24" s="20">
        <f>5765.6+440.9*0.6+75.1</f>
        <v>6105.2400000000007</v>
      </c>
      <c r="D24" s="20">
        <v>809.7</v>
      </c>
      <c r="E24" s="20">
        <f t="shared" si="6"/>
        <v>5295.5400000000009</v>
      </c>
      <c r="F24" s="45">
        <v>4.04</v>
      </c>
      <c r="G24" s="46">
        <f t="shared" si="0"/>
        <v>5633.7561584999594</v>
      </c>
      <c r="H24" s="46">
        <f t="shared" si="1"/>
        <v>3808.2659844739455</v>
      </c>
      <c r="I24" s="46">
        <f t="shared" si="2"/>
        <v>9460.8542397102083</v>
      </c>
      <c r="J24" s="46">
        <f t="shared" si="3"/>
        <v>1064.9802672195422</v>
      </c>
      <c r="K24" s="46">
        <f t="shared" si="4"/>
        <v>5640.4161007620023</v>
      </c>
      <c r="L24" s="46">
        <f t="shared" si="7"/>
        <v>25608.272750665659</v>
      </c>
      <c r="M24" s="46">
        <f t="shared" si="8"/>
        <v>0.6</v>
      </c>
      <c r="N24" s="46">
        <f t="shared" si="5"/>
        <v>0.37</v>
      </c>
      <c r="O24" s="47">
        <f>M24-N24+'Zał 7 25-01-2024'!L24</f>
        <v>0.22999999999999998</v>
      </c>
      <c r="P24" s="48">
        <f t="shared" si="9"/>
        <v>4.2699999999999996</v>
      </c>
      <c r="R24" s="2">
        <f t="shared" si="10"/>
        <v>25642.01</v>
      </c>
      <c r="S24" s="2">
        <f>P24-'Zał 7 25-01-2024'!K24</f>
        <v>0</v>
      </c>
    </row>
    <row r="25" spans="1:19" x14ac:dyDescent="0.3">
      <c r="A25" s="44">
        <v>23</v>
      </c>
      <c r="B25" s="19" t="s">
        <v>23</v>
      </c>
      <c r="C25" s="20">
        <f>4968.38+777.86*0.6+149.35</f>
        <v>5584.4460000000008</v>
      </c>
      <c r="D25" s="20">
        <v>477.05</v>
      </c>
      <c r="E25" s="20">
        <f t="shared" si="6"/>
        <v>5107.3960000000006</v>
      </c>
      <c r="F25" s="45">
        <v>4.01</v>
      </c>
      <c r="G25" s="46">
        <f t="shared" si="0"/>
        <v>5153.181045185851</v>
      </c>
      <c r="H25" s="46">
        <f t="shared" si="1"/>
        <v>3483.4102744415595</v>
      </c>
      <c r="I25" s="46">
        <f t="shared" si="2"/>
        <v>8653.8169859878908</v>
      </c>
      <c r="J25" s="46">
        <f t="shared" si="3"/>
        <v>974.13448011103628</v>
      </c>
      <c r="K25" s="46">
        <f t="shared" si="4"/>
        <v>5159.272875797833</v>
      </c>
      <c r="L25" s="46">
        <f t="shared" si="7"/>
        <v>23423.815661524171</v>
      </c>
      <c r="M25" s="46">
        <f t="shared" si="8"/>
        <v>0.6</v>
      </c>
      <c r="N25" s="46">
        <f t="shared" si="5"/>
        <v>0.37</v>
      </c>
      <c r="O25" s="47">
        <f>M25-N25+'Zał 7 25-01-2024'!L25+0.1</f>
        <v>0.32999999999999996</v>
      </c>
      <c r="P25" s="48">
        <f t="shared" si="9"/>
        <v>4.34</v>
      </c>
      <c r="R25" s="2">
        <f t="shared" si="10"/>
        <v>23454.67</v>
      </c>
      <c r="S25" s="2">
        <f>P25-'Zał 7 25-01-2024'!K25</f>
        <v>0</v>
      </c>
    </row>
    <row r="26" spans="1:19" x14ac:dyDescent="0.3">
      <c r="A26" s="44">
        <v>24</v>
      </c>
      <c r="B26" s="19" t="s">
        <v>29</v>
      </c>
      <c r="C26" s="20">
        <f>5503.34+1009.29*0.6</f>
        <v>6108.9139999999998</v>
      </c>
      <c r="D26" s="20">
        <v>1929.55</v>
      </c>
      <c r="E26" s="20">
        <f t="shared" si="6"/>
        <v>4179.3639999999996</v>
      </c>
      <c r="F26" s="45">
        <v>3.24</v>
      </c>
      <c r="G26" s="46">
        <f t="shared" si="0"/>
        <v>5637.1464298285755</v>
      </c>
      <c r="H26" s="46">
        <f t="shared" si="1"/>
        <v>3810.5577157125135</v>
      </c>
      <c r="I26" s="46">
        <f t="shared" si="2"/>
        <v>9466.5475750216265</v>
      </c>
      <c r="J26" s="46">
        <f t="shared" si="3"/>
        <v>1065.6211490688656</v>
      </c>
      <c r="K26" s="46">
        <f t="shared" si="4"/>
        <v>5643.8103798983166</v>
      </c>
      <c r="L26" s="46">
        <f t="shared" si="7"/>
        <v>25623.683249529899</v>
      </c>
      <c r="M26" s="46">
        <f t="shared" si="8"/>
        <v>0.6</v>
      </c>
      <c r="N26" s="46">
        <f t="shared" si="5"/>
        <v>0.37</v>
      </c>
      <c r="O26" s="47">
        <f>M26-N26+'Zał 7 25-01-2024'!L26</f>
        <v>0.22999999999999998</v>
      </c>
      <c r="P26" s="48">
        <f t="shared" si="9"/>
        <v>3.47</v>
      </c>
      <c r="R26" s="2">
        <f t="shared" si="10"/>
        <v>25657.439999999999</v>
      </c>
      <c r="S26" s="2">
        <f>P26-'Zał 7 25-01-2024'!K26</f>
        <v>0</v>
      </c>
    </row>
    <row r="27" spans="1:19" x14ac:dyDescent="0.3">
      <c r="A27" s="44">
        <v>25</v>
      </c>
      <c r="B27" s="19" t="s">
        <v>30</v>
      </c>
      <c r="C27" s="20">
        <f>7380.28+2363.57*0.6</f>
        <v>8798.4220000000005</v>
      </c>
      <c r="D27" s="20">
        <v>2122.5700000000002</v>
      </c>
      <c r="E27" s="20">
        <f t="shared" si="6"/>
        <v>6675.8520000000008</v>
      </c>
      <c r="F27" s="45">
        <v>2.8</v>
      </c>
      <c r="G27" s="46">
        <f t="shared" si="0"/>
        <v>8118.954230723366</v>
      </c>
      <c r="H27" s="46">
        <f t="shared" si="1"/>
        <v>5488.192310154428</v>
      </c>
      <c r="I27" s="46">
        <f t="shared" si="2"/>
        <v>13634.285970978955</v>
      </c>
      <c r="J27" s="46">
        <f t="shared" si="3"/>
        <v>1534.7710839656258</v>
      </c>
      <c r="K27" s="46">
        <f t="shared" si="4"/>
        <v>8128.5520487480608</v>
      </c>
      <c r="L27" s="46">
        <f t="shared" si="7"/>
        <v>36904.755644570439</v>
      </c>
      <c r="M27" s="46">
        <f t="shared" si="8"/>
        <v>0.6</v>
      </c>
      <c r="N27" s="46">
        <f t="shared" si="5"/>
        <v>0.37</v>
      </c>
      <c r="O27" s="47">
        <f>M27-N27+'Zał 7 25-01-2024'!L27</f>
        <v>0.22999999999999998</v>
      </c>
      <c r="P27" s="48">
        <f t="shared" si="9"/>
        <v>3.03</v>
      </c>
      <c r="R27" s="2">
        <f t="shared" si="10"/>
        <v>36953.370000000003</v>
      </c>
      <c r="S27" s="2">
        <f>P27-'Zał 7 25-01-2024'!K27</f>
        <v>0</v>
      </c>
    </row>
    <row r="28" spans="1:19" x14ac:dyDescent="0.3">
      <c r="A28" s="44">
        <v>26</v>
      </c>
      <c r="B28" s="19" t="s">
        <v>36</v>
      </c>
      <c r="C28" s="20">
        <f>312.2*0.6</f>
        <v>187.32</v>
      </c>
      <c r="D28" s="20">
        <v>31.23</v>
      </c>
      <c r="E28" s="20">
        <f t="shared" si="6"/>
        <v>156.09</v>
      </c>
      <c r="F28" s="45">
        <v>1.65</v>
      </c>
      <c r="G28" s="46">
        <f t="shared" si="0"/>
        <v>172.85400796859946</v>
      </c>
      <c r="H28" s="46">
        <f t="shared" si="1"/>
        <v>116.84460958318745</v>
      </c>
      <c r="I28" s="46">
        <f t="shared" si="2"/>
        <v>290.276420940457</v>
      </c>
      <c r="J28" s="46">
        <f t="shared" si="3"/>
        <v>32.675554712929319</v>
      </c>
      <c r="K28" s="46">
        <f t="shared" si="4"/>
        <v>173.05834725493807</v>
      </c>
      <c r="L28" s="46">
        <f t="shared" si="7"/>
        <v>785.70894046011131</v>
      </c>
      <c r="M28" s="46">
        <f t="shared" si="8"/>
        <v>0.6</v>
      </c>
      <c r="N28" s="46">
        <f t="shared" si="5"/>
        <v>0.37</v>
      </c>
      <c r="O28" s="47">
        <f>M28-N28+'Zał 7 25-01-2024'!L28</f>
        <v>0.22999999999999998</v>
      </c>
      <c r="P28" s="48">
        <f t="shared" si="9"/>
        <v>1.88</v>
      </c>
      <c r="R28" s="2">
        <f t="shared" si="10"/>
        <v>786.74</v>
      </c>
      <c r="S28" s="2">
        <f>P28-'Zał 7 25-01-2024'!K28</f>
        <v>0</v>
      </c>
    </row>
    <row r="29" spans="1:19" x14ac:dyDescent="0.3">
      <c r="A29" s="44">
        <v>27</v>
      </c>
      <c r="B29" s="19" t="s">
        <v>25</v>
      </c>
      <c r="C29" s="20">
        <f>4246.69+1830.5*0.6</f>
        <v>5344.99</v>
      </c>
      <c r="D29" s="20">
        <v>1098.01</v>
      </c>
      <c r="E29" s="20">
        <f t="shared" si="6"/>
        <v>4246.9799999999996</v>
      </c>
      <c r="F29" s="45">
        <v>3.17</v>
      </c>
      <c r="G29" s="46">
        <f t="shared" si="0"/>
        <v>4932.2172968827908</v>
      </c>
      <c r="H29" s="46">
        <f t="shared" si="1"/>
        <v>3334.0447884691498</v>
      </c>
      <c r="I29" s="46">
        <f t="shared" si="2"/>
        <v>8282.7491306989832</v>
      </c>
      <c r="J29" s="46">
        <f t="shared" si="3"/>
        <v>932.36447354826009</v>
      </c>
      <c r="K29" s="46">
        <f t="shared" si="4"/>
        <v>4938.0479153009364</v>
      </c>
      <c r="L29" s="46">
        <f t="shared" si="7"/>
        <v>22419.423604900119</v>
      </c>
      <c r="M29" s="46">
        <f t="shared" si="8"/>
        <v>0.6</v>
      </c>
      <c r="N29" s="46">
        <f t="shared" si="5"/>
        <v>0.37</v>
      </c>
      <c r="O29" s="47">
        <f>M29-N29+0.4+'Zał 7 25-01-2024'!L29+0.3</f>
        <v>0.92999999999999994</v>
      </c>
      <c r="P29" s="48">
        <f>F29+O29</f>
        <v>4.0999999999999996</v>
      </c>
      <c r="R29" s="2">
        <f t="shared" si="10"/>
        <v>22448.959999999999</v>
      </c>
      <c r="S29" s="2">
        <f>P29-'Zał 7 25-01-2024'!K29</f>
        <v>0</v>
      </c>
    </row>
    <row r="30" spans="1:19" x14ac:dyDescent="0.3">
      <c r="A30" s="44">
        <v>28</v>
      </c>
      <c r="B30" s="19" t="s">
        <v>26</v>
      </c>
      <c r="C30" s="20">
        <f>3067.13+1433.95*0.6</f>
        <v>3927.5</v>
      </c>
      <c r="D30" s="20">
        <v>1192.67</v>
      </c>
      <c r="E30" s="20">
        <f t="shared" si="6"/>
        <v>2734.83</v>
      </c>
      <c r="F30" s="45">
        <v>3.41</v>
      </c>
      <c r="G30" s="46">
        <f t="shared" si="0"/>
        <v>3624.1945136486997</v>
      </c>
      <c r="H30" s="46">
        <f t="shared" si="1"/>
        <v>2449.856951409186</v>
      </c>
      <c r="I30" s="46">
        <f t="shared" si="2"/>
        <v>6086.1661501369044</v>
      </c>
      <c r="J30" s="46">
        <f t="shared" si="3"/>
        <v>685.10165030445171</v>
      </c>
      <c r="K30" s="46">
        <f t="shared" si="4"/>
        <v>3628.4788535328275</v>
      </c>
      <c r="L30" s="46">
        <f t="shared" si="7"/>
        <v>16473.798119032068</v>
      </c>
      <c r="M30" s="46">
        <f t="shared" si="8"/>
        <v>0.6</v>
      </c>
      <c r="N30" s="46">
        <f t="shared" si="5"/>
        <v>0.37</v>
      </c>
      <c r="O30" s="47">
        <f>M30-N30+'Zał 7 25-01-2024'!L30+0.26</f>
        <v>0.49</v>
      </c>
      <c r="P30" s="48">
        <f t="shared" si="9"/>
        <v>3.9000000000000004</v>
      </c>
      <c r="R30" s="2">
        <f t="shared" si="10"/>
        <v>16495.5</v>
      </c>
      <c r="S30" s="2">
        <f>P30-'Zał 7 25-01-2024'!K30</f>
        <v>0</v>
      </c>
    </row>
    <row r="31" spans="1:19" x14ac:dyDescent="0.3">
      <c r="A31" s="44">
        <v>29</v>
      </c>
      <c r="B31" s="19" t="s">
        <v>33</v>
      </c>
      <c r="C31" s="66">
        <f>5704.86+2678.54*0.6</f>
        <v>7311.9839999999995</v>
      </c>
      <c r="D31" s="66">
        <v>1347.08</v>
      </c>
      <c r="E31" s="20">
        <f t="shared" si="6"/>
        <v>5964.9039999999995</v>
      </c>
      <c r="F31" s="45">
        <v>3.47</v>
      </c>
      <c r="G31" s="46">
        <f t="shared" si="0"/>
        <v>6747.3080322564156</v>
      </c>
      <c r="H31" s="46">
        <f t="shared" si="1"/>
        <v>4560.9967742820481</v>
      </c>
      <c r="I31" s="46">
        <f t="shared" si="2"/>
        <v>11330.859200800163</v>
      </c>
      <c r="J31" s="46">
        <f t="shared" si="3"/>
        <v>1275.4811726033727</v>
      </c>
      <c r="K31" s="46">
        <f t="shared" si="4"/>
        <v>6755.2843593559201</v>
      </c>
      <c r="L31" s="46">
        <f t="shared" si="7"/>
        <v>30669.929539297922</v>
      </c>
      <c r="M31" s="46">
        <f t="shared" si="8"/>
        <v>0.6</v>
      </c>
      <c r="N31" s="46">
        <f t="shared" si="5"/>
        <v>0.37</v>
      </c>
      <c r="O31" s="47">
        <f>M31-N31+0.2+'Zał 7 25-01-2024'!L31+0.25</f>
        <v>0.67999999999999994</v>
      </c>
      <c r="P31" s="48">
        <f>F31+O31</f>
        <v>4.1500000000000004</v>
      </c>
      <c r="R31" s="2">
        <f>ROUND(M31*C31*7,2)</f>
        <v>30710.33</v>
      </c>
      <c r="S31" s="2">
        <f>P31-'Zał 7 25-01-2024'!K31</f>
        <v>0</v>
      </c>
    </row>
    <row r="32" spans="1:19" x14ac:dyDescent="0.3">
      <c r="A32" s="49"/>
      <c r="B32" s="50" t="s">
        <v>27</v>
      </c>
      <c r="C32" s="51">
        <f>SUM(C3:C31)</f>
        <v>110005.27800000001</v>
      </c>
      <c r="D32" s="51">
        <f>SUM(D3:D31)</f>
        <v>13533.23</v>
      </c>
      <c r="E32" s="51">
        <f>SUM(E3:E31)</f>
        <v>96472.04800000001</v>
      </c>
      <c r="F32" s="52">
        <f>SUM(F3:F31)/29</f>
        <v>3.5393103448275864</v>
      </c>
      <c r="G32" s="53">
        <f t="shared" ref="G32:K32" si="11">SUM(G3:G31)</f>
        <v>101510</v>
      </c>
      <c r="H32" s="53">
        <f t="shared" si="11"/>
        <v>68618</v>
      </c>
      <c r="I32" s="53">
        <f t="shared" si="11"/>
        <v>170467.31999999998</v>
      </c>
      <c r="J32" s="53">
        <f t="shared" si="11"/>
        <v>19189</v>
      </c>
      <c r="K32" s="53">
        <f t="shared" si="11"/>
        <v>101629.99999999999</v>
      </c>
      <c r="L32" s="53">
        <f>SUM(L3:L31)</f>
        <v>461414.32000000007</v>
      </c>
      <c r="M32" s="52">
        <f>SUM(M3:M31)/29</f>
        <v>0.6</v>
      </c>
      <c r="N32" s="52">
        <f t="shared" si="5"/>
        <v>0.37</v>
      </c>
      <c r="O32" s="54">
        <f>SUM(O3:O31)/29</f>
        <v>0.32482758620689661</v>
      </c>
      <c r="P32" s="48">
        <f>SUM(P3:P31)/29</f>
        <v>3.8641379310344828</v>
      </c>
      <c r="R32" s="2">
        <f>SUM(R3:R31)</f>
        <v>462022.16000000009</v>
      </c>
      <c r="S32" s="2"/>
    </row>
    <row r="34" spans="4:18" x14ac:dyDescent="0.3">
      <c r="G34" s="55">
        <v>101510</v>
      </c>
      <c r="H34" s="55">
        <v>68618</v>
      </c>
      <c r="I34" s="56">
        <v>98362.08</v>
      </c>
      <c r="J34" s="55">
        <v>19189</v>
      </c>
      <c r="K34" s="55">
        <v>101630</v>
      </c>
      <c r="N34" s="67">
        <v>250000</v>
      </c>
      <c r="P34" s="2">
        <f>P32-F32</f>
        <v>0.32482758620689633</v>
      </c>
      <c r="R34" s="2">
        <f>R32-L32</f>
        <v>607.84000000002561</v>
      </c>
    </row>
    <row r="35" spans="4:18" x14ac:dyDescent="0.3">
      <c r="D35" s="1">
        <f>D32/C32</f>
        <v>0.12302346074703796</v>
      </c>
      <c r="I35" s="57">
        <v>72105.240000000005</v>
      </c>
      <c r="J35" s="2"/>
      <c r="K35" s="58" t="s">
        <v>52</v>
      </c>
    </row>
    <row r="36" spans="4:18" x14ac:dyDescent="0.3">
      <c r="H36" s="59" t="s">
        <v>38</v>
      </c>
      <c r="I36" s="2">
        <f>SUM(I34:I35)</f>
        <v>170467.32</v>
      </c>
      <c r="J36" s="2"/>
      <c r="K36" s="58"/>
      <c r="N36" s="2"/>
    </row>
  </sheetData>
  <pageMargins left="0.43307086614173229" right="0.35433070866141736" top="1.4960629921259843" bottom="0.55118110236220474" header="0.27559055118110237" footer="0.31496062992125984"/>
  <pageSetup paperSize="8" scale="93" orientation="landscape" horizontalDpi="4294967293" r:id="rId1"/>
  <headerFooter>
    <oddHeader>&amp;C&amp;"-,Pogrubiony"&amp;16
Kalkulacja stawek eksploatacyjnych proponowanych w nieruchomościach  na Eksploatacji od 1 czerwca 2024 r.&amp;R&amp;"-,Pogrubiony"&amp;14Zał. Nr 6.1.</oddHeader>
    <oddFooter>&amp;LKraków dnia luty 2024 r.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6E6E1-845F-4A94-B52B-99A4DEAB329A}">
  <sheetPr>
    <pageSetUpPr fitToPage="1"/>
  </sheetPr>
  <dimension ref="A1:L35"/>
  <sheetViews>
    <sheetView workbookViewId="0">
      <selection activeCell="L1" sqref="L1"/>
    </sheetView>
  </sheetViews>
  <sheetFormatPr defaultRowHeight="14.4" x14ac:dyDescent="0.3"/>
  <cols>
    <col min="1" max="1" width="4.5546875" bestFit="1" customWidth="1"/>
    <col min="2" max="2" width="19" customWidth="1"/>
    <col min="3" max="3" width="23.21875" customWidth="1"/>
    <col min="4" max="4" width="18" customWidth="1"/>
    <col min="5" max="5" width="15.77734375" customWidth="1"/>
    <col min="6" max="6" width="17.77734375" customWidth="1"/>
    <col min="7" max="7" width="18.21875" customWidth="1"/>
    <col min="8" max="8" width="19.33203125" customWidth="1"/>
    <col min="9" max="10" width="19.5546875" customWidth="1"/>
    <col min="11" max="11" width="10.6640625" customWidth="1"/>
    <col min="12" max="12" width="11.6640625" customWidth="1"/>
  </cols>
  <sheetData>
    <row r="1" spans="1:12" ht="136.19999999999999" customHeight="1" x14ac:dyDescent="0.3">
      <c r="A1" s="10" t="s">
        <v>0</v>
      </c>
      <c r="B1" s="11" t="s">
        <v>1</v>
      </c>
      <c r="C1" s="11" t="s">
        <v>56</v>
      </c>
      <c r="D1" s="11" t="s">
        <v>57</v>
      </c>
      <c r="E1" s="11" t="s">
        <v>69</v>
      </c>
      <c r="F1" s="70" t="s">
        <v>58</v>
      </c>
      <c r="G1" s="70" t="s">
        <v>59</v>
      </c>
      <c r="H1" s="11" t="s">
        <v>70</v>
      </c>
      <c r="I1" s="73" t="s">
        <v>67</v>
      </c>
      <c r="J1" s="73" t="s">
        <v>68</v>
      </c>
      <c r="K1" s="6" t="s">
        <v>206</v>
      </c>
      <c r="L1" s="6" t="s">
        <v>207</v>
      </c>
    </row>
    <row r="2" spans="1:12" x14ac:dyDescent="0.3">
      <c r="A2" s="10">
        <v>1</v>
      </c>
      <c r="B2" s="11">
        <v>2</v>
      </c>
      <c r="C2" s="11">
        <v>3</v>
      </c>
      <c r="D2" s="11">
        <v>4</v>
      </c>
      <c r="E2" s="12">
        <v>5</v>
      </c>
      <c r="F2" s="12">
        <v>7</v>
      </c>
      <c r="G2" s="11">
        <v>8</v>
      </c>
      <c r="H2" s="12">
        <v>9</v>
      </c>
      <c r="I2" s="11">
        <v>10</v>
      </c>
      <c r="J2" s="12">
        <v>11</v>
      </c>
      <c r="K2" s="7"/>
      <c r="L2" s="7"/>
    </row>
    <row r="3" spans="1:12" ht="15.6" x14ac:dyDescent="0.3">
      <c r="A3" s="7">
        <v>1</v>
      </c>
      <c r="B3" s="19" t="s">
        <v>31</v>
      </c>
      <c r="C3" s="30">
        <v>3.56</v>
      </c>
      <c r="D3" s="30" t="s">
        <v>34</v>
      </c>
      <c r="E3" s="30">
        <v>0.23</v>
      </c>
      <c r="F3" s="71">
        <f t="shared" ref="F3:F20" si="0">C3+E3</f>
        <v>3.79</v>
      </c>
      <c r="G3" s="71" t="s">
        <v>34</v>
      </c>
      <c r="H3" s="30">
        <v>0.38</v>
      </c>
      <c r="I3" s="74">
        <f t="shared" ref="I3:I27" si="1">F3+H3</f>
        <v>4.17</v>
      </c>
      <c r="J3" s="74" t="s">
        <v>34</v>
      </c>
      <c r="K3" s="80">
        <v>3.79</v>
      </c>
      <c r="L3" s="24">
        <f t="shared" ref="L3:L27" si="2">K3-F3</f>
        <v>0</v>
      </c>
    </row>
    <row r="4" spans="1:12" ht="15.6" x14ac:dyDescent="0.3">
      <c r="A4" s="7">
        <v>2</v>
      </c>
      <c r="B4" s="19" t="s">
        <v>4</v>
      </c>
      <c r="C4" s="30">
        <v>3.57</v>
      </c>
      <c r="D4" s="30" t="s">
        <v>34</v>
      </c>
      <c r="E4" s="30">
        <f>0.23+0.2</f>
        <v>0.43000000000000005</v>
      </c>
      <c r="F4" s="71">
        <f t="shared" si="0"/>
        <v>4</v>
      </c>
      <c r="G4" s="71" t="s">
        <v>34</v>
      </c>
      <c r="H4" s="30">
        <v>0.38</v>
      </c>
      <c r="I4" s="74">
        <f t="shared" si="1"/>
        <v>4.38</v>
      </c>
      <c r="J4" s="74" t="s">
        <v>34</v>
      </c>
      <c r="K4" s="79">
        <v>4</v>
      </c>
      <c r="L4" s="24">
        <f t="shared" si="2"/>
        <v>0</v>
      </c>
    </row>
    <row r="5" spans="1:12" ht="15.6" x14ac:dyDescent="0.3">
      <c r="A5" s="7">
        <v>3</v>
      </c>
      <c r="B5" s="19" t="s">
        <v>32</v>
      </c>
      <c r="C5" s="30">
        <v>3.91</v>
      </c>
      <c r="D5" s="30" t="s">
        <v>34</v>
      </c>
      <c r="E5" s="30">
        <f>0.23+0.36</f>
        <v>0.59</v>
      </c>
      <c r="F5" s="71">
        <f t="shared" si="0"/>
        <v>4.5</v>
      </c>
      <c r="G5" s="71" t="s">
        <v>34</v>
      </c>
      <c r="H5" s="30">
        <v>0.38</v>
      </c>
      <c r="I5" s="74">
        <f t="shared" si="1"/>
        <v>4.88</v>
      </c>
      <c r="J5" s="74" t="s">
        <v>34</v>
      </c>
      <c r="K5" s="79">
        <v>4.5</v>
      </c>
      <c r="L5" s="24">
        <f t="shared" si="2"/>
        <v>0</v>
      </c>
    </row>
    <row r="6" spans="1:12" ht="15.6" x14ac:dyDescent="0.3">
      <c r="A6" s="7">
        <v>4</v>
      </c>
      <c r="B6" s="19" t="s">
        <v>5</v>
      </c>
      <c r="C6" s="30">
        <v>3.67</v>
      </c>
      <c r="D6" s="30">
        <f>3.67*0.6</f>
        <v>2.202</v>
      </c>
      <c r="E6" s="30">
        <v>0.23</v>
      </c>
      <c r="F6" s="71">
        <f t="shared" si="0"/>
        <v>3.9</v>
      </c>
      <c r="G6" s="71">
        <f>3.9*0.6</f>
        <v>2.34</v>
      </c>
      <c r="H6" s="30">
        <v>0.38</v>
      </c>
      <c r="I6" s="74">
        <f t="shared" si="1"/>
        <v>4.28</v>
      </c>
      <c r="J6" s="74">
        <f>I6*0.6</f>
        <v>2.5680000000000001</v>
      </c>
      <c r="K6" s="80">
        <v>3.9</v>
      </c>
      <c r="L6" s="24">
        <f t="shared" si="2"/>
        <v>0</v>
      </c>
    </row>
    <row r="7" spans="1:12" ht="15.6" x14ac:dyDescent="0.3">
      <c r="A7" s="7">
        <v>5</v>
      </c>
      <c r="B7" s="19" t="s">
        <v>6</v>
      </c>
      <c r="C7" s="30">
        <v>3.28</v>
      </c>
      <c r="D7" s="30" t="s">
        <v>34</v>
      </c>
      <c r="E7" s="30">
        <v>0</v>
      </c>
      <c r="F7" s="71">
        <f t="shared" si="0"/>
        <v>3.28</v>
      </c>
      <c r="G7" s="71" t="s">
        <v>34</v>
      </c>
      <c r="H7" s="30">
        <v>0.38</v>
      </c>
      <c r="I7" s="74">
        <f t="shared" si="1"/>
        <v>3.6599999999999997</v>
      </c>
      <c r="J7" s="74" t="s">
        <v>34</v>
      </c>
      <c r="K7" s="81">
        <v>3.28</v>
      </c>
      <c r="L7" s="24">
        <f t="shared" si="2"/>
        <v>0</v>
      </c>
    </row>
    <row r="8" spans="1:12" ht="15.6" x14ac:dyDescent="0.3">
      <c r="A8" s="7">
        <v>6</v>
      </c>
      <c r="B8" s="19" t="s">
        <v>7</v>
      </c>
      <c r="C8" s="30">
        <v>3.62</v>
      </c>
      <c r="D8" s="30" t="s">
        <v>34</v>
      </c>
      <c r="E8" s="30">
        <v>0</v>
      </c>
      <c r="F8" s="71">
        <f t="shared" si="0"/>
        <v>3.62</v>
      </c>
      <c r="G8" s="71" t="s">
        <v>34</v>
      </c>
      <c r="H8" s="30">
        <v>0.38</v>
      </c>
      <c r="I8" s="74">
        <f t="shared" si="1"/>
        <v>4</v>
      </c>
      <c r="J8" s="74" t="s">
        <v>34</v>
      </c>
      <c r="K8" s="81">
        <v>3.62</v>
      </c>
      <c r="L8" s="24">
        <f t="shared" si="2"/>
        <v>0</v>
      </c>
    </row>
    <row r="9" spans="1:12" ht="15.6" x14ac:dyDescent="0.3">
      <c r="A9" s="7">
        <v>7</v>
      </c>
      <c r="B9" s="19" t="s">
        <v>8</v>
      </c>
      <c r="C9" s="30">
        <v>3.63</v>
      </c>
      <c r="D9" s="30">
        <f>3.63*0.6</f>
        <v>2.1779999999999999</v>
      </c>
      <c r="E9" s="30">
        <v>0</v>
      </c>
      <c r="F9" s="71">
        <f t="shared" si="0"/>
        <v>3.63</v>
      </c>
      <c r="G9" s="71">
        <f>3.63*0.6</f>
        <v>2.1779999999999999</v>
      </c>
      <c r="H9" s="30">
        <v>0.38</v>
      </c>
      <c r="I9" s="74">
        <f t="shared" si="1"/>
        <v>4.01</v>
      </c>
      <c r="J9" s="74">
        <f>I9*0.6</f>
        <v>2.4059999999999997</v>
      </c>
      <c r="K9" s="81">
        <v>3.63</v>
      </c>
      <c r="L9" s="24">
        <f t="shared" si="2"/>
        <v>0</v>
      </c>
    </row>
    <row r="10" spans="1:12" ht="15.6" x14ac:dyDescent="0.3">
      <c r="A10" s="7">
        <v>8</v>
      </c>
      <c r="B10" s="19" t="s">
        <v>9</v>
      </c>
      <c r="C10" s="30">
        <v>3.52</v>
      </c>
      <c r="D10" s="30" t="s">
        <v>34</v>
      </c>
      <c r="E10" s="30">
        <v>0</v>
      </c>
      <c r="F10" s="71">
        <f t="shared" si="0"/>
        <v>3.52</v>
      </c>
      <c r="G10" s="71" t="s">
        <v>34</v>
      </c>
      <c r="H10" s="30">
        <v>0.38</v>
      </c>
      <c r="I10" s="74">
        <f t="shared" si="1"/>
        <v>3.9</v>
      </c>
      <c r="J10" s="74" t="s">
        <v>34</v>
      </c>
      <c r="K10" s="81">
        <v>3.52</v>
      </c>
      <c r="L10" s="24">
        <f t="shared" si="2"/>
        <v>0</v>
      </c>
    </row>
    <row r="11" spans="1:12" ht="15.6" x14ac:dyDescent="0.3">
      <c r="A11" s="7">
        <v>9</v>
      </c>
      <c r="B11" s="19" t="s">
        <v>10</v>
      </c>
      <c r="C11" s="30">
        <v>3.64</v>
      </c>
      <c r="D11" s="30">
        <f>3.64*0.6</f>
        <v>2.1840000000000002</v>
      </c>
      <c r="E11" s="30">
        <f>0.23+0.25</f>
        <v>0.48</v>
      </c>
      <c r="F11" s="71">
        <f t="shared" si="0"/>
        <v>4.12</v>
      </c>
      <c r="G11" s="71">
        <f>4.12*0.6</f>
        <v>2.472</v>
      </c>
      <c r="H11" s="30">
        <v>0.38</v>
      </c>
      <c r="I11" s="74">
        <f t="shared" si="1"/>
        <v>4.5</v>
      </c>
      <c r="J11" s="74">
        <f t="shared" ref="J11:J16" si="3">I11*0.6</f>
        <v>2.6999999999999997</v>
      </c>
      <c r="K11" s="79">
        <v>4.12</v>
      </c>
      <c r="L11" s="24">
        <f t="shared" si="2"/>
        <v>0</v>
      </c>
    </row>
    <row r="12" spans="1:12" ht="15.6" x14ac:dyDescent="0.3">
      <c r="A12" s="7">
        <v>10</v>
      </c>
      <c r="B12" s="19" t="s">
        <v>11</v>
      </c>
      <c r="C12" s="30">
        <v>3.38</v>
      </c>
      <c r="D12" s="30">
        <f>3.38*0.6</f>
        <v>2.028</v>
      </c>
      <c r="E12" s="30">
        <f>0.23+0.34</f>
        <v>0.57000000000000006</v>
      </c>
      <c r="F12" s="71">
        <f t="shared" si="0"/>
        <v>3.95</v>
      </c>
      <c r="G12" s="71">
        <f>3.95*0.6</f>
        <v>2.37</v>
      </c>
      <c r="H12" s="30">
        <v>0.38</v>
      </c>
      <c r="I12" s="74">
        <f t="shared" si="1"/>
        <v>4.33</v>
      </c>
      <c r="J12" s="74">
        <f t="shared" si="3"/>
        <v>2.5979999999999999</v>
      </c>
      <c r="K12" s="79">
        <v>3.95</v>
      </c>
      <c r="L12" s="24">
        <f t="shared" si="2"/>
        <v>0</v>
      </c>
    </row>
    <row r="13" spans="1:12" ht="15.6" x14ac:dyDescent="0.3">
      <c r="A13" s="7">
        <v>11</v>
      </c>
      <c r="B13" s="19" t="s">
        <v>12</v>
      </c>
      <c r="C13" s="30">
        <v>3.64</v>
      </c>
      <c r="D13" s="30">
        <f>3.64*0.6</f>
        <v>2.1840000000000002</v>
      </c>
      <c r="E13" s="30">
        <f>0.23+0.25</f>
        <v>0.48</v>
      </c>
      <c r="F13" s="71">
        <f t="shared" si="0"/>
        <v>4.12</v>
      </c>
      <c r="G13" s="71">
        <f>4.12*0.6</f>
        <v>2.472</v>
      </c>
      <c r="H13" s="30">
        <v>0.38</v>
      </c>
      <c r="I13" s="74">
        <f t="shared" si="1"/>
        <v>4.5</v>
      </c>
      <c r="J13" s="74">
        <f t="shared" si="3"/>
        <v>2.6999999999999997</v>
      </c>
      <c r="K13" s="79">
        <v>4.12</v>
      </c>
      <c r="L13" s="24">
        <f t="shared" si="2"/>
        <v>0</v>
      </c>
    </row>
    <row r="14" spans="1:12" ht="15.6" x14ac:dyDescent="0.3">
      <c r="A14" s="7">
        <v>12</v>
      </c>
      <c r="B14" s="19" t="s">
        <v>13</v>
      </c>
      <c r="C14" s="30">
        <v>3.54</v>
      </c>
      <c r="D14" s="30">
        <f>3.54*0.6</f>
        <v>2.1240000000000001</v>
      </c>
      <c r="E14" s="30">
        <v>0.23</v>
      </c>
      <c r="F14" s="71">
        <f t="shared" si="0"/>
        <v>3.77</v>
      </c>
      <c r="G14" s="71">
        <f>3.77*0.6</f>
        <v>2.262</v>
      </c>
      <c r="H14" s="30">
        <v>0.38</v>
      </c>
      <c r="I14" s="74">
        <f t="shared" si="1"/>
        <v>4.1500000000000004</v>
      </c>
      <c r="J14" s="74">
        <f t="shared" si="3"/>
        <v>2.4900000000000002</v>
      </c>
      <c r="K14" s="80">
        <v>3.77</v>
      </c>
      <c r="L14" s="24">
        <f t="shared" si="2"/>
        <v>0</v>
      </c>
    </row>
    <row r="15" spans="1:12" ht="15.6" x14ac:dyDescent="0.3">
      <c r="A15" s="7">
        <v>13</v>
      </c>
      <c r="B15" s="19" t="s">
        <v>14</v>
      </c>
      <c r="C15" s="30">
        <v>3.4</v>
      </c>
      <c r="D15" s="30">
        <f>3.4*0.6</f>
        <v>2.04</v>
      </c>
      <c r="E15" s="30">
        <v>0.23</v>
      </c>
      <c r="F15" s="71">
        <f t="shared" si="0"/>
        <v>3.63</v>
      </c>
      <c r="G15" s="71">
        <f>3.63*0.6</f>
        <v>2.1779999999999999</v>
      </c>
      <c r="H15" s="30">
        <v>0.38</v>
      </c>
      <c r="I15" s="74">
        <f t="shared" si="1"/>
        <v>4.01</v>
      </c>
      <c r="J15" s="74">
        <f t="shared" si="3"/>
        <v>2.4059999999999997</v>
      </c>
      <c r="K15" s="80">
        <v>3.63</v>
      </c>
      <c r="L15" s="24">
        <f t="shared" si="2"/>
        <v>0</v>
      </c>
    </row>
    <row r="16" spans="1:12" ht="15.6" x14ac:dyDescent="0.3">
      <c r="A16" s="7">
        <v>14</v>
      </c>
      <c r="B16" s="19" t="s">
        <v>15</v>
      </c>
      <c r="C16" s="30">
        <v>3.42</v>
      </c>
      <c r="D16" s="30">
        <f>3.42*0.6</f>
        <v>2.052</v>
      </c>
      <c r="E16" s="30">
        <v>0.23</v>
      </c>
      <c r="F16" s="71">
        <f t="shared" si="0"/>
        <v>3.65</v>
      </c>
      <c r="G16" s="71">
        <f>3.65*0.6</f>
        <v>2.19</v>
      </c>
      <c r="H16" s="30">
        <v>0.38</v>
      </c>
      <c r="I16" s="74">
        <f t="shared" si="1"/>
        <v>4.03</v>
      </c>
      <c r="J16" s="74">
        <f t="shared" si="3"/>
        <v>2.4180000000000001</v>
      </c>
      <c r="K16" s="80">
        <v>3.65</v>
      </c>
      <c r="L16" s="24">
        <f t="shared" si="2"/>
        <v>0</v>
      </c>
    </row>
    <row r="17" spans="1:12" ht="15.6" x14ac:dyDescent="0.3">
      <c r="A17" s="7">
        <v>15</v>
      </c>
      <c r="B17" s="19" t="s">
        <v>16</v>
      </c>
      <c r="C17" s="30">
        <v>3.9</v>
      </c>
      <c r="D17" s="30" t="s">
        <v>34</v>
      </c>
      <c r="E17" s="30">
        <f>0.23+0.17</f>
        <v>0.4</v>
      </c>
      <c r="F17" s="71">
        <f t="shared" si="0"/>
        <v>4.3</v>
      </c>
      <c r="G17" s="71" t="s">
        <v>34</v>
      </c>
      <c r="H17" s="30">
        <v>0.38</v>
      </c>
      <c r="I17" s="74">
        <f t="shared" si="1"/>
        <v>4.68</v>
      </c>
      <c r="J17" s="74" t="s">
        <v>34</v>
      </c>
      <c r="K17" s="79">
        <v>4.3</v>
      </c>
      <c r="L17" s="24">
        <f t="shared" si="2"/>
        <v>0</v>
      </c>
    </row>
    <row r="18" spans="1:12" ht="15.6" x14ac:dyDescent="0.3">
      <c r="A18" s="7">
        <v>16</v>
      </c>
      <c r="B18" s="19" t="s">
        <v>17</v>
      </c>
      <c r="C18" s="30">
        <v>3.53</v>
      </c>
      <c r="D18" s="30" t="s">
        <v>34</v>
      </c>
      <c r="E18" s="30">
        <f>0.23+0.34</f>
        <v>0.57000000000000006</v>
      </c>
      <c r="F18" s="71">
        <f t="shared" si="0"/>
        <v>4.0999999999999996</v>
      </c>
      <c r="G18" s="71" t="s">
        <v>34</v>
      </c>
      <c r="H18" s="30">
        <v>0.38</v>
      </c>
      <c r="I18" s="74">
        <f t="shared" si="1"/>
        <v>4.4799999999999995</v>
      </c>
      <c r="J18" s="74" t="s">
        <v>34</v>
      </c>
      <c r="K18" s="79">
        <v>4.0999999999999996</v>
      </c>
      <c r="L18" s="24">
        <f t="shared" si="2"/>
        <v>0</v>
      </c>
    </row>
    <row r="19" spans="1:12" ht="15.6" x14ac:dyDescent="0.3">
      <c r="A19" s="7">
        <v>17</v>
      </c>
      <c r="B19" s="19" t="s">
        <v>18</v>
      </c>
      <c r="C19" s="30">
        <v>3.83</v>
      </c>
      <c r="D19" s="30" t="s">
        <v>34</v>
      </c>
      <c r="E19" s="30">
        <v>0.23</v>
      </c>
      <c r="F19" s="71">
        <f t="shared" si="0"/>
        <v>4.0600000000000005</v>
      </c>
      <c r="G19" s="71" t="s">
        <v>34</v>
      </c>
      <c r="H19" s="30">
        <v>0.38</v>
      </c>
      <c r="I19" s="74">
        <f t="shared" si="1"/>
        <v>4.4400000000000004</v>
      </c>
      <c r="J19" s="74" t="s">
        <v>34</v>
      </c>
      <c r="K19" s="80">
        <v>4.0599999999999996</v>
      </c>
      <c r="L19" s="24">
        <f t="shared" si="2"/>
        <v>0</v>
      </c>
    </row>
    <row r="20" spans="1:12" ht="15.6" x14ac:dyDescent="0.3">
      <c r="A20" s="7">
        <v>18</v>
      </c>
      <c r="B20" s="19" t="s">
        <v>19</v>
      </c>
      <c r="C20" s="30">
        <v>4.26</v>
      </c>
      <c r="D20" s="30">
        <f>4.26*0.6</f>
        <v>2.5559999999999996</v>
      </c>
      <c r="E20" s="30">
        <f>0.23+0.15</f>
        <v>0.38</v>
      </c>
      <c r="F20" s="71">
        <f t="shared" si="0"/>
        <v>4.6399999999999997</v>
      </c>
      <c r="G20" s="71">
        <f>4.64*0.6</f>
        <v>2.7839999999999998</v>
      </c>
      <c r="H20" s="30">
        <v>0.38</v>
      </c>
      <c r="I20" s="74">
        <f t="shared" si="1"/>
        <v>5.0199999999999996</v>
      </c>
      <c r="J20" s="74">
        <f t="shared" ref="J20:J27" si="4">I20*0.6</f>
        <v>3.0119999999999996</v>
      </c>
      <c r="K20" s="79">
        <v>4.6399999999999997</v>
      </c>
      <c r="L20" s="24">
        <f t="shared" si="2"/>
        <v>0</v>
      </c>
    </row>
    <row r="21" spans="1:12" ht="15.6" x14ac:dyDescent="0.3">
      <c r="A21" s="7">
        <v>19</v>
      </c>
      <c r="B21" s="19" t="s">
        <v>20</v>
      </c>
      <c r="C21" s="30">
        <v>3.97</v>
      </c>
      <c r="D21" s="30">
        <f>3.97*0.6</f>
        <v>2.3820000000000001</v>
      </c>
      <c r="E21" s="30">
        <v>0.23</v>
      </c>
      <c r="F21" s="71">
        <f t="shared" ref="F21:F22" si="5">C21+E21</f>
        <v>4.2</v>
      </c>
      <c r="G21" s="71">
        <f>4.2*0.6</f>
        <v>2.52</v>
      </c>
      <c r="H21" s="30">
        <v>0.38</v>
      </c>
      <c r="I21" s="74">
        <f t="shared" si="1"/>
        <v>4.58</v>
      </c>
      <c r="J21" s="74">
        <f t="shared" si="4"/>
        <v>2.7479999999999998</v>
      </c>
      <c r="K21" s="80">
        <v>4.2</v>
      </c>
      <c r="L21" s="24">
        <f t="shared" si="2"/>
        <v>0</v>
      </c>
    </row>
    <row r="22" spans="1:12" ht="15.6" x14ac:dyDescent="0.3">
      <c r="A22" s="7">
        <v>20</v>
      </c>
      <c r="B22" s="19" t="s">
        <v>21</v>
      </c>
      <c r="C22" s="30">
        <v>3.71</v>
      </c>
      <c r="D22" s="30">
        <f>3.71*0.6</f>
        <v>2.226</v>
      </c>
      <c r="E22" s="30">
        <v>0.23</v>
      </c>
      <c r="F22" s="71">
        <f t="shared" si="5"/>
        <v>3.94</v>
      </c>
      <c r="G22" s="71">
        <f>3.94*0.6</f>
        <v>2.3639999999999999</v>
      </c>
      <c r="H22" s="30">
        <v>0.38</v>
      </c>
      <c r="I22" s="74">
        <f t="shared" si="1"/>
        <v>4.32</v>
      </c>
      <c r="J22" s="74">
        <f t="shared" si="4"/>
        <v>2.5920000000000001</v>
      </c>
      <c r="K22" s="80">
        <v>3.94</v>
      </c>
      <c r="L22" s="24">
        <f t="shared" si="2"/>
        <v>0</v>
      </c>
    </row>
    <row r="23" spans="1:12" ht="15.6" x14ac:dyDescent="0.3">
      <c r="A23" s="7">
        <v>21</v>
      </c>
      <c r="B23" s="19" t="s">
        <v>22</v>
      </c>
      <c r="C23" s="30">
        <v>3.87</v>
      </c>
      <c r="D23" s="30">
        <f>3.87*0.6</f>
        <v>2.3220000000000001</v>
      </c>
      <c r="E23" s="30">
        <f>0.23+0.1</f>
        <v>0.33</v>
      </c>
      <c r="F23" s="71">
        <f>C23+E23</f>
        <v>4.2</v>
      </c>
      <c r="G23" s="71">
        <f>4.2*0.6</f>
        <v>2.52</v>
      </c>
      <c r="H23" s="30">
        <v>0.38</v>
      </c>
      <c r="I23" s="74">
        <f t="shared" si="1"/>
        <v>4.58</v>
      </c>
      <c r="J23" s="74">
        <f t="shared" si="4"/>
        <v>2.7479999999999998</v>
      </c>
      <c r="K23" s="79">
        <v>4.2</v>
      </c>
      <c r="L23" s="24">
        <f t="shared" si="2"/>
        <v>0</v>
      </c>
    </row>
    <row r="24" spans="1:12" ht="15.6" x14ac:dyDescent="0.3">
      <c r="A24" s="7">
        <v>22</v>
      </c>
      <c r="B24" s="19" t="s">
        <v>28</v>
      </c>
      <c r="C24" s="30">
        <v>4.04</v>
      </c>
      <c r="D24" s="30">
        <f>4.04*0.6</f>
        <v>2.4239999999999999</v>
      </c>
      <c r="E24" s="30">
        <v>0.23</v>
      </c>
      <c r="F24" s="71">
        <f>C24+E24</f>
        <v>4.2700000000000005</v>
      </c>
      <c r="G24" s="71">
        <f>4.27*0.6</f>
        <v>2.5619999999999998</v>
      </c>
      <c r="H24" s="30">
        <v>0.38</v>
      </c>
      <c r="I24" s="74">
        <f t="shared" si="1"/>
        <v>4.6500000000000004</v>
      </c>
      <c r="J24" s="74">
        <f t="shared" si="4"/>
        <v>2.79</v>
      </c>
      <c r="K24" s="80">
        <v>4.2699999999999996</v>
      </c>
      <c r="L24" s="24">
        <f t="shared" si="2"/>
        <v>0</v>
      </c>
    </row>
    <row r="25" spans="1:12" ht="15.6" x14ac:dyDescent="0.3">
      <c r="A25" s="7">
        <v>23</v>
      </c>
      <c r="B25" s="19" t="s">
        <v>23</v>
      </c>
      <c r="C25" s="30">
        <v>4.01</v>
      </c>
      <c r="D25" s="30">
        <f>4.01*0.6</f>
        <v>2.4059999999999997</v>
      </c>
      <c r="E25" s="30">
        <f>0.23+0.1</f>
        <v>0.33</v>
      </c>
      <c r="F25" s="71">
        <f>C25+E25</f>
        <v>4.34</v>
      </c>
      <c r="G25" s="71">
        <f>4.34*0.6</f>
        <v>2.6039999999999996</v>
      </c>
      <c r="H25" s="30">
        <v>0.38</v>
      </c>
      <c r="I25" s="74">
        <f t="shared" si="1"/>
        <v>4.72</v>
      </c>
      <c r="J25" s="74">
        <f t="shared" si="4"/>
        <v>2.8319999999999999</v>
      </c>
      <c r="K25" s="79">
        <v>4.34</v>
      </c>
      <c r="L25" s="24">
        <f t="shared" si="2"/>
        <v>0</v>
      </c>
    </row>
    <row r="26" spans="1:12" ht="15.6" x14ac:dyDescent="0.3">
      <c r="A26" s="7">
        <v>24</v>
      </c>
      <c r="B26" s="19" t="s">
        <v>29</v>
      </c>
      <c r="C26" s="30">
        <v>3.24</v>
      </c>
      <c r="D26" s="30">
        <f>3.24*0.6</f>
        <v>1.944</v>
      </c>
      <c r="E26" s="30">
        <v>0.23</v>
      </c>
      <c r="F26" s="71">
        <f>C26+E26</f>
        <v>3.47</v>
      </c>
      <c r="G26" s="71">
        <f>3.47*0.6</f>
        <v>2.0819999999999999</v>
      </c>
      <c r="H26" s="30">
        <v>0.38</v>
      </c>
      <c r="I26" s="74">
        <f t="shared" si="1"/>
        <v>3.85</v>
      </c>
      <c r="J26" s="74">
        <f t="shared" si="4"/>
        <v>2.31</v>
      </c>
      <c r="K26" s="80">
        <v>3.47</v>
      </c>
      <c r="L26" s="24">
        <f t="shared" si="2"/>
        <v>0</v>
      </c>
    </row>
    <row r="27" spans="1:12" ht="15.6" x14ac:dyDescent="0.3">
      <c r="A27" s="7">
        <v>25</v>
      </c>
      <c r="B27" s="19" t="s">
        <v>30</v>
      </c>
      <c r="C27" s="30">
        <v>2.8</v>
      </c>
      <c r="D27" s="30">
        <f>2.8*0.6</f>
        <v>1.68</v>
      </c>
      <c r="E27" s="30">
        <v>0.23</v>
      </c>
      <c r="F27" s="71">
        <f>C27+E27</f>
        <v>3.03</v>
      </c>
      <c r="G27" s="71">
        <f>3.03*0.6</f>
        <v>1.8179999999999998</v>
      </c>
      <c r="H27" s="30">
        <v>0.38</v>
      </c>
      <c r="I27" s="74">
        <f t="shared" si="1"/>
        <v>3.4099999999999997</v>
      </c>
      <c r="J27" s="74">
        <f t="shared" si="4"/>
        <v>2.0459999999999998</v>
      </c>
      <c r="K27" s="80">
        <v>3.03</v>
      </c>
      <c r="L27" s="24">
        <f t="shared" si="2"/>
        <v>0</v>
      </c>
    </row>
    <row r="28" spans="1:12" ht="15.6" x14ac:dyDescent="0.3">
      <c r="A28" s="7">
        <v>26</v>
      </c>
      <c r="B28" s="19" t="s">
        <v>24</v>
      </c>
      <c r="C28" s="30" t="s">
        <v>34</v>
      </c>
      <c r="D28" s="30">
        <v>1.65</v>
      </c>
      <c r="E28" s="30">
        <v>0.23</v>
      </c>
      <c r="F28" s="71">
        <v>1.88</v>
      </c>
      <c r="G28" s="71">
        <v>1.88</v>
      </c>
      <c r="H28" s="30">
        <v>0.38</v>
      </c>
      <c r="I28" s="74" t="s">
        <v>34</v>
      </c>
      <c r="J28" s="74">
        <f>G28+H28</f>
        <v>2.2599999999999998</v>
      </c>
      <c r="K28" s="167">
        <v>1.88</v>
      </c>
      <c r="L28" s="24">
        <v>0</v>
      </c>
    </row>
    <row r="29" spans="1:12" ht="15.6" x14ac:dyDescent="0.3">
      <c r="A29" s="7">
        <v>27</v>
      </c>
      <c r="B29" s="19" t="s">
        <v>25</v>
      </c>
      <c r="C29" s="30">
        <v>3.17</v>
      </c>
      <c r="D29" s="30">
        <f>3.17*0.6</f>
        <v>1.9019999999999999</v>
      </c>
      <c r="E29" s="30">
        <f>0.63+0.3</f>
        <v>0.92999999999999994</v>
      </c>
      <c r="F29" s="71">
        <f>C29+E29</f>
        <v>4.0999999999999996</v>
      </c>
      <c r="G29" s="71">
        <f>4.1*0.6</f>
        <v>2.4599999999999995</v>
      </c>
      <c r="H29" s="30">
        <v>0.38</v>
      </c>
      <c r="I29" s="74">
        <f>F29+H29</f>
        <v>4.4799999999999995</v>
      </c>
      <c r="J29" s="74">
        <f>I29*0.6</f>
        <v>2.6879999999999997</v>
      </c>
      <c r="K29" s="79">
        <v>4.0999999999999996</v>
      </c>
      <c r="L29" s="24">
        <f>K29-F29</f>
        <v>0</v>
      </c>
    </row>
    <row r="30" spans="1:12" ht="15.6" x14ac:dyDescent="0.3">
      <c r="A30" s="7">
        <v>28</v>
      </c>
      <c r="B30" s="19" t="s">
        <v>26</v>
      </c>
      <c r="C30" s="30">
        <v>3.41</v>
      </c>
      <c r="D30" s="30">
        <f>3.41*0.6</f>
        <v>2.0459999999999998</v>
      </c>
      <c r="E30" s="30">
        <f>0.23+0.26</f>
        <v>0.49</v>
      </c>
      <c r="F30" s="71">
        <f>C30+E30</f>
        <v>3.9000000000000004</v>
      </c>
      <c r="G30" s="71">
        <f>3.9*0.6</f>
        <v>2.34</v>
      </c>
      <c r="H30" s="30">
        <v>0.38</v>
      </c>
      <c r="I30" s="74">
        <f>F30+H30</f>
        <v>4.28</v>
      </c>
      <c r="J30" s="74">
        <f>I30*0.6</f>
        <v>2.5680000000000001</v>
      </c>
      <c r="K30" s="79">
        <v>3.9</v>
      </c>
      <c r="L30" s="24">
        <f>K30-F30</f>
        <v>0</v>
      </c>
    </row>
    <row r="31" spans="1:12" ht="15.6" x14ac:dyDescent="0.3">
      <c r="A31" s="7">
        <v>29</v>
      </c>
      <c r="B31" s="19" t="s">
        <v>33</v>
      </c>
      <c r="C31" s="30">
        <v>3.47</v>
      </c>
      <c r="D31" s="30">
        <f>3.47*0.6</f>
        <v>2.0819999999999999</v>
      </c>
      <c r="E31" s="30">
        <f>0.43+0.25</f>
        <v>0.67999999999999994</v>
      </c>
      <c r="F31" s="71">
        <f>C31+E31</f>
        <v>4.1500000000000004</v>
      </c>
      <c r="G31" s="71">
        <f>4.15*0.6</f>
        <v>2.4900000000000002</v>
      </c>
      <c r="H31" s="30">
        <v>0.38</v>
      </c>
      <c r="I31" s="74">
        <f>F31+H31</f>
        <v>4.53</v>
      </c>
      <c r="J31" s="74">
        <f>I31*0.6</f>
        <v>2.718</v>
      </c>
      <c r="K31" s="79">
        <v>4.1500000000000004</v>
      </c>
      <c r="L31" s="24">
        <f>K31-F31</f>
        <v>0</v>
      </c>
    </row>
    <row r="32" spans="1:12" ht="15.6" x14ac:dyDescent="0.3">
      <c r="A32" s="15"/>
      <c r="B32" s="16" t="s">
        <v>27</v>
      </c>
      <c r="C32" s="23">
        <f>(SUM(C3:C27)+SUM(C29:C31))/28</f>
        <v>3.606785714285714</v>
      </c>
      <c r="D32" s="23">
        <f>((D6+D9+SUM(D11:D16)+SUM(D20:D31))/20)</f>
        <v>2.1305999999999998</v>
      </c>
      <c r="E32" s="23">
        <f>SUM(E3:E31)/29</f>
        <v>0.32482758620689667</v>
      </c>
      <c r="F32" s="72">
        <f>(SUM(F3:F31)-F28)/28</f>
        <v>3.9350000000000001</v>
      </c>
      <c r="G32" s="72">
        <f>SUM(G3:G31)/20</f>
        <v>2.3443000000000001</v>
      </c>
      <c r="H32" s="72">
        <f>SUM(H3:H31)/29</f>
        <v>0.38000000000000017</v>
      </c>
      <c r="I32" s="72">
        <f>SUM(I3:I31)/28</f>
        <v>4.3149999999999995</v>
      </c>
      <c r="J32" s="72">
        <f>SUM(J3:J31)/20</f>
        <v>2.5798999999999999</v>
      </c>
      <c r="K32" s="72">
        <f>(SUM(K3:K31)-K28)/28</f>
        <v>3.9350000000000001</v>
      </c>
      <c r="L32" s="72">
        <f t="shared" ref="L32" si="6">SUM(L3:L31)/28</f>
        <v>0</v>
      </c>
    </row>
    <row r="34" spans="7:8" x14ac:dyDescent="0.3">
      <c r="G34" s="2"/>
    </row>
    <row r="35" spans="7:8" x14ac:dyDescent="0.3">
      <c r="H35" s="65"/>
    </row>
  </sheetData>
  <phoneticPr fontId="21" type="noConversion"/>
  <printOptions horizontalCentered="1" verticalCentered="1"/>
  <pageMargins left="0.55118110236220474" right="0.27559055118110237" top="1.2598425196850394" bottom="0.59055118110236227" header="0.62992125984251968" footer="0.31496062992125984"/>
  <pageSetup paperSize="9" scale="75" orientation="landscape" horizontalDpi="4294967293" r:id="rId1"/>
  <headerFooter>
    <oddHeader>&amp;C&amp;"-,Pogrubiony"&amp;16
Stawki Eksploatacyjne obowiązujące od 1 czerwca 2024 r. uwzględniające wzrost kosztów w 2024 r. &amp;R&amp;"-,Pogrubiony"&amp;14Zał. Nr 7</oddHeader>
    <oddFooter>&amp;LKraków dnia luty 2024 r.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6C16E5FB538DA45A190F2CD02BA0916" ma:contentTypeVersion="10" ma:contentTypeDescription="Utwórz nowy dokument." ma:contentTypeScope="" ma:versionID="5bf79856308fc465f1665cd33940d823">
  <xsd:schema xmlns:xsd="http://www.w3.org/2001/XMLSchema" xmlns:xs="http://www.w3.org/2001/XMLSchema" xmlns:p="http://schemas.microsoft.com/office/2006/metadata/properties" xmlns:ns3="cf57d37f-72cf-490e-b49b-ed3ff3a71d6e" targetNamespace="http://schemas.microsoft.com/office/2006/metadata/properties" ma:root="true" ma:fieldsID="eed6c738d5088f8258d4bf89e85b423e" ns3:_="">
    <xsd:import namespace="cf57d37f-72cf-490e-b49b-ed3ff3a71d6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57d37f-72cf-490e-b49b-ed3ff3a71d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950581F-DB7D-424F-907D-B01D2B7E175B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purl.org/dc/dcmitype/"/>
    <ds:schemaRef ds:uri="cf57d37f-72cf-490e-b49b-ed3ff3a71d6e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912E822-2EB4-4A25-B368-89103B70AC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B8B9C1-D760-4E9D-A2C4-DC8703DCD2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57d37f-72cf-490e-b49b-ed3ff3a71d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Nazwane zakresy</vt:lpstr>
      </vt:variant>
      <vt:variant>
        <vt:i4>5</vt:i4>
      </vt:variant>
    </vt:vector>
  </HeadingPairs>
  <TitlesOfParts>
    <vt:vector size="12" baseType="lpstr">
      <vt:lpstr>Zał 2 25-01-2024</vt:lpstr>
      <vt:lpstr>Zał 3 25-01-2024</vt:lpstr>
      <vt:lpstr>Zał 4 25-01-2024</vt:lpstr>
      <vt:lpstr>Zał. 5 25-01-2024</vt:lpstr>
      <vt:lpstr>Zał 6 25-01-2024</vt:lpstr>
      <vt:lpstr>Zał 6.1. 25-01-2024</vt:lpstr>
      <vt:lpstr>Zał 7 25-01-2024</vt:lpstr>
      <vt:lpstr>'Zał 2 25-01-2024'!Obszar_wydruku</vt:lpstr>
      <vt:lpstr>'Zał 6 25-01-2024'!Obszar_wydruku</vt:lpstr>
      <vt:lpstr>'Zał 6.1. 25-01-2024'!Obszar_wydruku</vt:lpstr>
      <vt:lpstr>'Zał 7 25-01-2024'!Obszar_wydruku</vt:lpstr>
      <vt:lpstr>'Zał. 5 25-01-2024'!Obszar_wydruku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2024-02-07T13:50:05Z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0x01010076C16E5FB538DA45A190F2CD02BA0916</vt:lpwstr>
  </property>
</Properties>
</file>